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0" windowWidth="9315" windowHeight="2325" firstSheet="3" activeTab="3"/>
  </bookViews>
  <sheets>
    <sheet name="Hoja1" sheetId="1" r:id="rId1"/>
    <sheet name="X PARES" sheetId="5" r:id="rId2"/>
    <sheet name="A.S. MÍNIMOS CUADRADOS" sheetId="10" r:id="rId3"/>
    <sheet name="NÓMINA SEPTIEMBRE" sheetId="6" r:id="rId4"/>
    <sheet name="NÓMINA OCTUBRE" sheetId="9" r:id="rId5"/>
    <sheet name="NOVEDADES" sheetId="7" r:id="rId6"/>
    <sheet name="LIQUIDACIÓN " sheetId="11" r:id="rId7"/>
    <sheet name="CARTA DE RENUNCIA" sheetId="12" r:id="rId8"/>
  </sheets>
  <calcPr calcId="144525"/>
</workbook>
</file>

<file path=xl/calcChain.xml><?xml version="1.0" encoding="utf-8"?>
<calcChain xmlns="http://schemas.openxmlformats.org/spreadsheetml/2006/main">
  <c r="I22" i="11" l="1"/>
  <c r="D34" i="11" l="1"/>
  <c r="D17" i="11"/>
  <c r="D19" i="11" s="1"/>
  <c r="F34" i="11"/>
  <c r="D30" i="11" l="1"/>
  <c r="I30" i="11" s="1"/>
  <c r="D22" i="11"/>
  <c r="I34" i="11"/>
  <c r="H26" i="11"/>
  <c r="F22" i="11"/>
  <c r="I37" i="11" l="1"/>
  <c r="D26" i="11"/>
  <c r="I26" i="11" s="1"/>
  <c r="I2" i="11" l="1"/>
  <c r="P2" i="11" s="1"/>
  <c r="H2" i="11"/>
  <c r="O2" i="11" s="1"/>
  <c r="G2" i="11"/>
  <c r="M2" i="11" s="1"/>
  <c r="N2" i="11" l="1"/>
  <c r="Q2" i="11" s="1"/>
  <c r="T19" i="9"/>
  <c r="T10" i="9"/>
  <c r="G5" i="10" l="1"/>
  <c r="D6" i="10"/>
  <c r="D7" i="10"/>
  <c r="D8" i="10"/>
  <c r="D9" i="10"/>
  <c r="D10" i="10"/>
  <c r="D5" i="10"/>
  <c r="C5" i="10"/>
  <c r="C19" i="5"/>
  <c r="C20" i="5" s="1"/>
  <c r="C21" i="5" s="1"/>
  <c r="C22" i="5" s="1"/>
  <c r="C23" i="5" s="1"/>
  <c r="C24" i="5" s="1"/>
  <c r="C18" i="5"/>
  <c r="A11" i="10"/>
  <c r="B6" i="10"/>
  <c r="B7" i="10" s="1"/>
  <c r="B8" i="10" s="1"/>
  <c r="B9" i="10" s="1"/>
  <c r="B10" i="10" s="1"/>
  <c r="D21" i="10"/>
  <c r="I31" i="9"/>
  <c r="Q31" i="9"/>
  <c r="R31" i="9"/>
  <c r="Q30" i="6"/>
  <c r="R30" i="6"/>
  <c r="X8" i="9"/>
  <c r="X9" i="9"/>
  <c r="X10" i="9"/>
  <c r="X11" i="9"/>
  <c r="X12" i="9"/>
  <c r="X13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7" i="9"/>
  <c r="X31" i="9" s="1"/>
  <c r="T7" i="9"/>
  <c r="P7" i="9"/>
  <c r="N7" i="9"/>
  <c r="L7" i="9"/>
  <c r="AP7" i="6"/>
  <c r="AP8" i="6"/>
  <c r="AP9" i="6"/>
  <c r="AP10" i="6"/>
  <c r="AP11" i="6"/>
  <c r="AP12" i="6"/>
  <c r="AP13" i="6"/>
  <c r="AP14" i="6"/>
  <c r="AP15" i="6"/>
  <c r="AP16" i="6"/>
  <c r="AP17" i="6"/>
  <c r="AP18" i="6"/>
  <c r="AP19" i="6"/>
  <c r="AP20" i="6"/>
  <c r="AP21" i="6"/>
  <c r="AP22" i="6"/>
  <c r="AP23" i="6"/>
  <c r="AP24" i="6"/>
  <c r="AP25" i="6"/>
  <c r="AP26" i="6"/>
  <c r="AP27" i="6"/>
  <c r="AN8" i="6"/>
  <c r="AN9" i="6"/>
  <c r="AN10" i="6"/>
  <c r="AN11" i="6"/>
  <c r="AN12" i="6"/>
  <c r="AN13" i="6"/>
  <c r="AN14" i="6"/>
  <c r="AN15" i="6"/>
  <c r="AN16" i="6"/>
  <c r="AN17" i="6"/>
  <c r="AN18" i="6"/>
  <c r="AN19" i="6"/>
  <c r="AN20" i="6"/>
  <c r="AN21" i="6"/>
  <c r="AN22" i="6"/>
  <c r="AN23" i="6"/>
  <c r="AN24" i="6"/>
  <c r="AN25" i="6"/>
  <c r="AN26" i="6"/>
  <c r="AN27" i="6"/>
  <c r="AN7" i="6"/>
  <c r="AL7" i="6"/>
  <c r="AL8" i="6"/>
  <c r="AL9" i="6"/>
  <c r="AL10" i="6"/>
  <c r="AL11" i="6"/>
  <c r="AL12" i="6"/>
  <c r="AL13" i="6"/>
  <c r="AL14" i="6"/>
  <c r="AL15" i="6"/>
  <c r="AL16" i="6"/>
  <c r="AL17" i="6"/>
  <c r="AL18" i="6"/>
  <c r="AL19" i="6"/>
  <c r="AL20" i="6"/>
  <c r="AL21" i="6"/>
  <c r="AL22" i="6"/>
  <c r="AL23" i="6"/>
  <c r="AL24" i="6"/>
  <c r="AL25" i="6"/>
  <c r="AL26" i="6"/>
  <c r="AL27" i="6"/>
  <c r="AJ8" i="6"/>
  <c r="AJ9" i="6"/>
  <c r="AJ10" i="6"/>
  <c r="AJ11" i="6"/>
  <c r="AJ12" i="6"/>
  <c r="AJ13" i="6"/>
  <c r="AJ14" i="6"/>
  <c r="AJ15" i="6"/>
  <c r="AJ16" i="6"/>
  <c r="AJ17" i="6"/>
  <c r="AJ18" i="6"/>
  <c r="AJ19" i="6"/>
  <c r="AJ20" i="6"/>
  <c r="AJ21" i="6"/>
  <c r="AJ22" i="6"/>
  <c r="AJ23" i="6"/>
  <c r="AJ24" i="6"/>
  <c r="AJ25" i="6"/>
  <c r="AJ26" i="6"/>
  <c r="AJ27" i="6"/>
  <c r="AJ7" i="6"/>
  <c r="AH7" i="6"/>
  <c r="AH8" i="6"/>
  <c r="AH9" i="6"/>
  <c r="AH10" i="6"/>
  <c r="AH11" i="6"/>
  <c r="AH12" i="6"/>
  <c r="AH13" i="6"/>
  <c r="AH14" i="6"/>
  <c r="AH15" i="6"/>
  <c r="AH16" i="6"/>
  <c r="AH17" i="6"/>
  <c r="AH18" i="6"/>
  <c r="AH19" i="6"/>
  <c r="AH20" i="6"/>
  <c r="AH21" i="6"/>
  <c r="AH22" i="6"/>
  <c r="AH23" i="6"/>
  <c r="AH24" i="6"/>
  <c r="AH25" i="6"/>
  <c r="AH26" i="6"/>
  <c r="AH27" i="6"/>
  <c r="AF8" i="6"/>
  <c r="AF9" i="6"/>
  <c r="AF10" i="6"/>
  <c r="AF11" i="6"/>
  <c r="AF12" i="6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7" i="6"/>
  <c r="AD7" i="6"/>
  <c r="AD8" i="6"/>
  <c r="AD9" i="6"/>
  <c r="AD10" i="6"/>
  <c r="AD11" i="6"/>
  <c r="AD12" i="6"/>
  <c r="AD13" i="6"/>
  <c r="AD14" i="6"/>
  <c r="AD15" i="6"/>
  <c r="AD16" i="6"/>
  <c r="AD17" i="6"/>
  <c r="AD18" i="6"/>
  <c r="AD19" i="6"/>
  <c r="AD20" i="6"/>
  <c r="AD21" i="6"/>
  <c r="AD22" i="6"/>
  <c r="AD23" i="6"/>
  <c r="AD24" i="6"/>
  <c r="AD25" i="6"/>
  <c r="AD26" i="6"/>
  <c r="AD27" i="6"/>
  <c r="AB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B21" i="6"/>
  <c r="AB22" i="6"/>
  <c r="AB23" i="6"/>
  <c r="AB24" i="6"/>
  <c r="AB25" i="6"/>
  <c r="AB26" i="6"/>
  <c r="AB27" i="6"/>
  <c r="AB7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7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7" i="6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7" i="9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I30" i="6"/>
  <c r="T8" i="9"/>
  <c r="T9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M31" i="9"/>
  <c r="O31" i="9"/>
  <c r="S31" i="9"/>
  <c r="U31" i="9"/>
  <c r="W31" i="9"/>
  <c r="Y31" i="9"/>
  <c r="AC31" i="9"/>
  <c r="AE31" i="9"/>
  <c r="AG31" i="9"/>
  <c r="AI31" i="9"/>
  <c r="AK31" i="9"/>
  <c r="AM31" i="9"/>
  <c r="AO31" i="9"/>
  <c r="AQ31" i="9"/>
  <c r="AR31" i="9"/>
  <c r="AS31" i="9"/>
  <c r="AW31" i="9"/>
  <c r="AP8" i="9"/>
  <c r="AP9" i="9"/>
  <c r="AP10" i="9"/>
  <c r="AP11" i="9"/>
  <c r="AP12" i="9"/>
  <c r="AP13" i="9"/>
  <c r="AP14" i="9"/>
  <c r="AP15" i="9"/>
  <c r="AP16" i="9"/>
  <c r="AP17" i="9"/>
  <c r="AP18" i="9"/>
  <c r="AP19" i="9"/>
  <c r="AP20" i="9"/>
  <c r="AP21" i="9"/>
  <c r="AP22" i="9"/>
  <c r="AP23" i="9"/>
  <c r="AP24" i="9"/>
  <c r="AP25" i="9"/>
  <c r="AP26" i="9"/>
  <c r="AP27" i="9"/>
  <c r="AP28" i="9"/>
  <c r="AP7" i="9"/>
  <c r="AN8" i="9"/>
  <c r="AN9" i="9"/>
  <c r="AN10" i="9"/>
  <c r="AN11" i="9"/>
  <c r="AN12" i="9"/>
  <c r="AN13" i="9"/>
  <c r="AN14" i="9"/>
  <c r="AN15" i="9"/>
  <c r="AN16" i="9"/>
  <c r="AN17" i="9"/>
  <c r="AN18" i="9"/>
  <c r="AN19" i="9"/>
  <c r="AN20" i="9"/>
  <c r="AN21" i="9"/>
  <c r="AN22" i="9"/>
  <c r="AN23" i="9"/>
  <c r="AN24" i="9"/>
  <c r="AN25" i="9"/>
  <c r="AN26" i="9"/>
  <c r="AN27" i="9"/>
  <c r="AN28" i="9"/>
  <c r="AN7" i="9"/>
  <c r="AL8" i="9"/>
  <c r="AL9" i="9"/>
  <c r="AL10" i="9"/>
  <c r="AL11" i="9"/>
  <c r="AL12" i="9"/>
  <c r="AL13" i="9"/>
  <c r="AL14" i="9"/>
  <c r="AL15" i="9"/>
  <c r="AL16" i="9"/>
  <c r="AL17" i="9"/>
  <c r="AL18" i="9"/>
  <c r="AL19" i="9"/>
  <c r="AL20" i="9"/>
  <c r="AL21" i="9"/>
  <c r="AL22" i="9"/>
  <c r="AL23" i="9"/>
  <c r="AL24" i="9"/>
  <c r="AL25" i="9"/>
  <c r="AL26" i="9"/>
  <c r="AL27" i="9"/>
  <c r="AL28" i="9"/>
  <c r="AL7" i="9"/>
  <c r="AJ8" i="9"/>
  <c r="AJ9" i="9"/>
  <c r="AJ10" i="9"/>
  <c r="AJ11" i="9"/>
  <c r="AJ12" i="9"/>
  <c r="AJ13" i="9"/>
  <c r="AJ14" i="9"/>
  <c r="AJ15" i="9"/>
  <c r="AJ16" i="9"/>
  <c r="AJ17" i="9"/>
  <c r="AJ18" i="9"/>
  <c r="AJ19" i="9"/>
  <c r="AJ20" i="9"/>
  <c r="AJ21" i="9"/>
  <c r="AJ22" i="9"/>
  <c r="AJ23" i="9"/>
  <c r="AJ24" i="9"/>
  <c r="AJ25" i="9"/>
  <c r="AJ26" i="9"/>
  <c r="AJ27" i="9"/>
  <c r="AJ28" i="9"/>
  <c r="AJ7" i="9"/>
  <c r="AH8" i="9"/>
  <c r="AH9" i="9"/>
  <c r="AH10" i="9"/>
  <c r="AH11" i="9"/>
  <c r="AH12" i="9"/>
  <c r="AH13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H26" i="9"/>
  <c r="AH27" i="9"/>
  <c r="AH28" i="9"/>
  <c r="AH7" i="9"/>
  <c r="AF8" i="9"/>
  <c r="AF9" i="9"/>
  <c r="AF10" i="9"/>
  <c r="AF11" i="9"/>
  <c r="AF12" i="9"/>
  <c r="AF13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7" i="9"/>
  <c r="AD8" i="9"/>
  <c r="AD9" i="9"/>
  <c r="AD10" i="9"/>
  <c r="AD11" i="9"/>
  <c r="AD12" i="9"/>
  <c r="AD13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7" i="9"/>
  <c r="AB8" i="9"/>
  <c r="AB9" i="9"/>
  <c r="AB10" i="9"/>
  <c r="AB11" i="9"/>
  <c r="AB12" i="9"/>
  <c r="AB13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7" i="9"/>
  <c r="M30" i="6"/>
  <c r="O30" i="6"/>
  <c r="S30" i="6"/>
  <c r="U30" i="6"/>
  <c r="W30" i="6"/>
  <c r="Y30" i="6"/>
  <c r="AC30" i="6"/>
  <c r="AE30" i="6"/>
  <c r="AG30" i="6"/>
  <c r="AI30" i="6"/>
  <c r="AK30" i="6"/>
  <c r="AM30" i="6"/>
  <c r="AO30" i="6"/>
  <c r="AQ30" i="6"/>
  <c r="AR30" i="6"/>
  <c r="AS30" i="6"/>
  <c r="AW30" i="6"/>
  <c r="C10" i="10" l="1"/>
  <c r="G10" i="10"/>
  <c r="C9" i="10"/>
  <c r="C8" i="10"/>
  <c r="G9" i="10"/>
  <c r="C7" i="10"/>
  <c r="G8" i="10"/>
  <c r="C6" i="10"/>
  <c r="G7" i="10"/>
  <c r="G6" i="10"/>
  <c r="B11" i="10"/>
  <c r="D11" i="10"/>
  <c r="D17" i="10" s="1"/>
  <c r="K30" i="6"/>
  <c r="AB42" i="6" s="1"/>
  <c r="AB31" i="9"/>
  <c r="AD31" i="9"/>
  <c r="AF31" i="9"/>
  <c r="AH31" i="9"/>
  <c r="AJ31" i="9"/>
  <c r="AL31" i="9"/>
  <c r="AN31" i="9"/>
  <c r="AP31" i="9"/>
  <c r="Z31" i="9"/>
  <c r="L31" i="9"/>
  <c r="K31" i="9"/>
  <c r="AB41" i="9" s="1"/>
  <c r="Z30" i="6"/>
  <c r="P31" i="9"/>
  <c r="X30" i="6"/>
  <c r="L7" i="6"/>
  <c r="L8" i="6"/>
  <c r="AT8" i="6" s="1"/>
  <c r="L9" i="6"/>
  <c r="AT9" i="6" s="1"/>
  <c r="L10" i="6"/>
  <c r="AT10" i="6" s="1"/>
  <c r="L11" i="6"/>
  <c r="AT11" i="6" s="1"/>
  <c r="L12" i="6"/>
  <c r="AT12" i="6" s="1"/>
  <c r="L13" i="6"/>
  <c r="AT13" i="6" s="1"/>
  <c r="L14" i="6"/>
  <c r="AT14" i="6" s="1"/>
  <c r="L15" i="6"/>
  <c r="AT15" i="6" s="1"/>
  <c r="L16" i="6"/>
  <c r="AT16" i="6" s="1"/>
  <c r="L17" i="6"/>
  <c r="AT17" i="6" s="1"/>
  <c r="L18" i="6"/>
  <c r="AT18" i="6" s="1"/>
  <c r="L19" i="6"/>
  <c r="AT19" i="6" s="1"/>
  <c r="L20" i="6"/>
  <c r="AT20" i="6" s="1"/>
  <c r="L21" i="6"/>
  <c r="AT21" i="6" s="1"/>
  <c r="L22" i="6"/>
  <c r="AT22" i="6" s="1"/>
  <c r="L23" i="6"/>
  <c r="AT23" i="6" s="1"/>
  <c r="L24" i="6"/>
  <c r="AT24" i="6" s="1"/>
  <c r="L25" i="6"/>
  <c r="AT25" i="6" s="1"/>
  <c r="L26" i="6"/>
  <c r="AT26" i="6" s="1"/>
  <c r="L27" i="6"/>
  <c r="AT27" i="6" s="1"/>
  <c r="AT7" i="6" l="1"/>
  <c r="L30" i="6"/>
  <c r="P30" i="6"/>
  <c r="V28" i="9"/>
  <c r="T28" i="9"/>
  <c r="V27" i="9"/>
  <c r="T27" i="9"/>
  <c r="V26" i="9"/>
  <c r="T26" i="9"/>
  <c r="V25" i="9"/>
  <c r="T25" i="9"/>
  <c r="V24" i="9"/>
  <c r="T24" i="9"/>
  <c r="V23" i="9"/>
  <c r="T23" i="9"/>
  <c r="V22" i="9"/>
  <c r="T22" i="9"/>
  <c r="V21" i="9"/>
  <c r="T21" i="9"/>
  <c r="V20" i="9"/>
  <c r="T20" i="9"/>
  <c r="V19" i="9"/>
  <c r="AT19" i="9" s="1"/>
  <c r="V18" i="9"/>
  <c r="T18" i="9"/>
  <c r="V17" i="9"/>
  <c r="T17" i="9"/>
  <c r="V16" i="9"/>
  <c r="T16" i="9"/>
  <c r="V15" i="9"/>
  <c r="T15" i="9"/>
  <c r="V14" i="9"/>
  <c r="T14" i="9"/>
  <c r="V13" i="9"/>
  <c r="T13" i="9"/>
  <c r="V12" i="9"/>
  <c r="T12" i="9"/>
  <c r="V11" i="9"/>
  <c r="T11" i="9"/>
  <c r="V10" i="9"/>
  <c r="AT10" i="9" s="1"/>
  <c r="V9" i="9"/>
  <c r="AT9" i="9" s="1"/>
  <c r="V8" i="9"/>
  <c r="AT8" i="9" s="1"/>
  <c r="V7" i="9"/>
  <c r="AT11" i="9" l="1"/>
  <c r="AT12" i="9"/>
  <c r="AT13" i="9"/>
  <c r="AV13" i="9" s="1"/>
  <c r="AT14" i="9"/>
  <c r="AU14" i="9" s="1"/>
  <c r="AT15" i="9"/>
  <c r="AT16" i="9"/>
  <c r="AV16" i="9" s="1"/>
  <c r="AT17" i="9"/>
  <c r="AX17" i="9" s="1"/>
  <c r="AT18" i="9"/>
  <c r="AX18" i="9" s="1"/>
  <c r="AT20" i="9"/>
  <c r="AT21" i="9"/>
  <c r="AT22" i="9"/>
  <c r="AX22" i="9" s="1"/>
  <c r="AT23" i="9"/>
  <c r="AU23" i="9" s="1"/>
  <c r="AT24" i="9"/>
  <c r="AT25" i="9"/>
  <c r="AX25" i="9" s="1"/>
  <c r="AT26" i="9"/>
  <c r="AX26" i="9" s="1"/>
  <c r="AT27" i="9"/>
  <c r="AX27" i="9" s="1"/>
  <c r="AT28" i="9"/>
  <c r="AU7" i="6"/>
  <c r="AT7" i="9"/>
  <c r="AX7" i="9" s="1"/>
  <c r="AU9" i="9"/>
  <c r="AV9" i="9"/>
  <c r="AX9" i="9"/>
  <c r="V31" i="9"/>
  <c r="AU13" i="9"/>
  <c r="AU16" i="9"/>
  <c r="AX16" i="9"/>
  <c r="AU17" i="9"/>
  <c r="AV19" i="9"/>
  <c r="AU19" i="9"/>
  <c r="AX19" i="9"/>
  <c r="AX21" i="9"/>
  <c r="AV21" i="9"/>
  <c r="AU21" i="9"/>
  <c r="AV23" i="9"/>
  <c r="AV25" i="9"/>
  <c r="AU26" i="9"/>
  <c r="AU28" i="9"/>
  <c r="AV28" i="9"/>
  <c r="AX28" i="9"/>
  <c r="AX11" i="9"/>
  <c r="AV11" i="9"/>
  <c r="AU11" i="9"/>
  <c r="AU12" i="9"/>
  <c r="AV12" i="9"/>
  <c r="AX12" i="9"/>
  <c r="AX15" i="9"/>
  <c r="AV15" i="9"/>
  <c r="AU15" i="9"/>
  <c r="AU20" i="9"/>
  <c r="AX20" i="9"/>
  <c r="AV20" i="9"/>
  <c r="AU22" i="9"/>
  <c r="AU24" i="9"/>
  <c r="AX24" i="9"/>
  <c r="AV24" i="9"/>
  <c r="T31" i="9"/>
  <c r="N31" i="9"/>
  <c r="AV14" i="9" l="1"/>
  <c r="AU25" i="9"/>
  <c r="AU27" i="9"/>
  <c r="AX14" i="9"/>
  <c r="AY14" i="9" s="1"/>
  <c r="AZ14" i="9" s="1"/>
  <c r="AV18" i="9"/>
  <c r="AV27" i="9"/>
  <c r="AY27" i="9" s="1"/>
  <c r="AZ27" i="9" s="1"/>
  <c r="AV22" i="9"/>
  <c r="AY22" i="9" s="1"/>
  <c r="AZ22" i="9" s="1"/>
  <c r="AU18" i="9"/>
  <c r="AY18" i="9" s="1"/>
  <c r="AZ18" i="9" s="1"/>
  <c r="AV26" i="9"/>
  <c r="AY26" i="9" s="1"/>
  <c r="AZ26" i="9" s="1"/>
  <c r="AX23" i="9"/>
  <c r="AV17" i="9"/>
  <c r="AX13" i="9"/>
  <c r="AY13" i="9" s="1"/>
  <c r="AZ13" i="9" s="1"/>
  <c r="B26" i="10"/>
  <c r="C11" i="10"/>
  <c r="D16" i="10" s="1"/>
  <c r="AV7" i="9"/>
  <c r="AU7" i="9"/>
  <c r="AY15" i="9"/>
  <c r="AZ15" i="9" s="1"/>
  <c r="AY11" i="9"/>
  <c r="AY25" i="9"/>
  <c r="AZ25" i="9" s="1"/>
  <c r="AY23" i="9"/>
  <c r="AZ23" i="9" s="1"/>
  <c r="AY21" i="9"/>
  <c r="AZ21" i="9" s="1"/>
  <c r="AY19" i="9"/>
  <c r="AZ19" i="9" s="1"/>
  <c r="AY17" i="9"/>
  <c r="AZ17" i="9" s="1"/>
  <c r="AY24" i="9"/>
  <c r="AZ24" i="9" s="1"/>
  <c r="AY20" i="9"/>
  <c r="AZ20" i="9" s="1"/>
  <c r="AY12" i="9"/>
  <c r="AZ12" i="9" s="1"/>
  <c r="AY28" i="9"/>
  <c r="AZ28" i="9" s="1"/>
  <c r="AY16" i="9"/>
  <c r="AZ16" i="9" s="1"/>
  <c r="AY9" i="9"/>
  <c r="AZ9" i="9" s="1"/>
  <c r="AZ11" i="9"/>
  <c r="T30" i="6"/>
  <c r="AD30" i="6"/>
  <c r="AH30" i="6"/>
  <c r="AL30" i="6"/>
  <c r="AP30" i="6"/>
  <c r="AX9" i="6"/>
  <c r="N30" i="6"/>
  <c r="AB30" i="6"/>
  <c r="AX27" i="6"/>
  <c r="AV25" i="6"/>
  <c r="AX21" i="6"/>
  <c r="AX17" i="6"/>
  <c r="AX15" i="6"/>
  <c r="AX11" i="6"/>
  <c r="V30" i="6"/>
  <c r="AF30" i="6"/>
  <c r="AJ30" i="6"/>
  <c r="AN30" i="6"/>
  <c r="AX7" i="6"/>
  <c r="AX26" i="6"/>
  <c r="AX22" i="6"/>
  <c r="AX20" i="6"/>
  <c r="AX16" i="6"/>
  <c r="AX14" i="6"/>
  <c r="AX10" i="6"/>
  <c r="AU8" i="6"/>
  <c r="AU10" i="9"/>
  <c r="AV10" i="9"/>
  <c r="AX10" i="9"/>
  <c r="AT31" i="9"/>
  <c r="AU8" i="9"/>
  <c r="AX8" i="9"/>
  <c r="AV8" i="9"/>
  <c r="AX25" i="6"/>
  <c r="AU25" i="6"/>
  <c r="AV15" i="6"/>
  <c r="AU9" i="6"/>
  <c r="AU22" i="6"/>
  <c r="AX23" i="6"/>
  <c r="AU18" i="6"/>
  <c r="F16" i="10" l="1"/>
  <c r="B25" i="10" s="1"/>
  <c r="D25" i="10" s="1"/>
  <c r="B39" i="9"/>
  <c r="AB39" i="9"/>
  <c r="AB40" i="9"/>
  <c r="AB38" i="9"/>
  <c r="AY7" i="9"/>
  <c r="AZ7" i="9" s="1"/>
  <c r="B43" i="9"/>
  <c r="AY8" i="9"/>
  <c r="AY10" i="9"/>
  <c r="AZ10" i="9" s="1"/>
  <c r="AV10" i="6"/>
  <c r="AV16" i="6"/>
  <c r="AU21" i="6"/>
  <c r="AV27" i="6"/>
  <c r="AU10" i="6"/>
  <c r="AY10" i="6" s="1"/>
  <c r="AZ10" i="6" s="1"/>
  <c r="AU16" i="6"/>
  <c r="AV22" i="6"/>
  <c r="AY22" i="6" s="1"/>
  <c r="AZ22" i="6" s="1"/>
  <c r="AU15" i="6"/>
  <c r="AY15" i="6" s="1"/>
  <c r="AZ15" i="6" s="1"/>
  <c r="AV21" i="6"/>
  <c r="AU27" i="6"/>
  <c r="AV11" i="6"/>
  <c r="AV20" i="6"/>
  <c r="AV9" i="6"/>
  <c r="AY9" i="6" s="1"/>
  <c r="AZ9" i="6" s="1"/>
  <c r="AV17" i="6"/>
  <c r="AV7" i="6"/>
  <c r="AY7" i="6" s="1"/>
  <c r="AZ7" i="6" s="1"/>
  <c r="AV8" i="6"/>
  <c r="AU14" i="6"/>
  <c r="AV26" i="6"/>
  <c r="AX8" i="6"/>
  <c r="AV23" i="6"/>
  <c r="AV14" i="6"/>
  <c r="AU20" i="6"/>
  <c r="AU26" i="6"/>
  <c r="AU11" i="6"/>
  <c r="AU17" i="6"/>
  <c r="AU23" i="6"/>
  <c r="AV31" i="9"/>
  <c r="AX31" i="9"/>
  <c r="AU31" i="9"/>
  <c r="AV18" i="6"/>
  <c r="AX18" i="6"/>
  <c r="AV13" i="6"/>
  <c r="AX13" i="6"/>
  <c r="AU24" i="6"/>
  <c r="AX24" i="6"/>
  <c r="AV12" i="6"/>
  <c r="AX12" i="6"/>
  <c r="AU19" i="6"/>
  <c r="AX19" i="6"/>
  <c r="AT30" i="6"/>
  <c r="AV24" i="6"/>
  <c r="AV19" i="6"/>
  <c r="AU13" i="6"/>
  <c r="AU12" i="6"/>
  <c r="AY25" i="6"/>
  <c r="AY27" i="6" l="1"/>
  <c r="AZ27" i="6" s="1"/>
  <c r="D20" i="10"/>
  <c r="F20" i="10" s="1"/>
  <c r="AB40" i="6"/>
  <c r="AB39" i="6"/>
  <c r="B44" i="6"/>
  <c r="AB41" i="6"/>
  <c r="B40" i="6"/>
  <c r="AB42" i="9"/>
  <c r="R40" i="9"/>
  <c r="R38" i="9"/>
  <c r="R39" i="9"/>
  <c r="J40" i="9"/>
  <c r="J39" i="9"/>
  <c r="AY16" i="6"/>
  <c r="AZ16" i="6" s="1"/>
  <c r="AY21" i="6"/>
  <c r="AZ21" i="6" s="1"/>
  <c r="AY17" i="6"/>
  <c r="AZ17" i="6" s="1"/>
  <c r="AY11" i="6"/>
  <c r="AZ11" i="6" s="1"/>
  <c r="AY23" i="6"/>
  <c r="AZ23" i="6" s="1"/>
  <c r="AY26" i="6"/>
  <c r="AZ26" i="6" s="1"/>
  <c r="AY8" i="6"/>
  <c r="AZ8" i="6" s="1"/>
  <c r="AY14" i="6"/>
  <c r="AZ14" i="6" s="1"/>
  <c r="AY20" i="6"/>
  <c r="AZ20" i="6" s="1"/>
  <c r="AU30" i="6"/>
  <c r="AY18" i="6"/>
  <c r="AZ18" i="6" s="1"/>
  <c r="AX30" i="6"/>
  <c r="AZ8" i="9"/>
  <c r="AZ31" i="9" s="1"/>
  <c r="AY31" i="9"/>
  <c r="AY13" i="6"/>
  <c r="AZ13" i="6" s="1"/>
  <c r="AY24" i="6"/>
  <c r="AZ24" i="6" s="1"/>
  <c r="AY12" i="6"/>
  <c r="AZ12" i="6" s="1"/>
  <c r="AY19" i="6"/>
  <c r="AZ19" i="6" s="1"/>
  <c r="AV30" i="6"/>
  <c r="AZ25" i="6"/>
  <c r="N6" i="5"/>
  <c r="N8" i="5"/>
  <c r="N5" i="5"/>
  <c r="N7" i="5"/>
  <c r="N10" i="5"/>
  <c r="N9" i="5"/>
  <c r="N11" i="5"/>
  <c r="N12" i="5"/>
  <c r="N13" i="5"/>
  <c r="N14" i="5"/>
  <c r="N15" i="5"/>
  <c r="N4" i="5"/>
  <c r="B29" i="10" l="1"/>
  <c r="B12" i="10" s="1"/>
  <c r="G11" i="10" s="1"/>
  <c r="B30" i="10"/>
  <c r="B13" i="10" s="1"/>
  <c r="G12" i="10" s="1"/>
  <c r="AB43" i="6"/>
  <c r="J41" i="6"/>
  <c r="J40" i="6"/>
  <c r="J42" i="6" s="1"/>
  <c r="R41" i="6"/>
  <c r="R39" i="6"/>
  <c r="R40" i="6"/>
  <c r="Q41" i="9"/>
  <c r="J41" i="9"/>
  <c r="AZ30" i="6"/>
  <c r="AY30" i="6"/>
  <c r="Q42" i="6" l="1"/>
  <c r="T46" i="6" s="1"/>
  <c r="T45" i="9"/>
</calcChain>
</file>

<file path=xl/sharedStrings.xml><?xml version="1.0" encoding="utf-8"?>
<sst xmlns="http://schemas.openxmlformats.org/spreadsheetml/2006/main" count="539" uniqueCount="224">
  <si>
    <t>DEVENGADO</t>
  </si>
  <si>
    <t>DEDUCCIONES</t>
  </si>
  <si>
    <t>Nombre Empleado</t>
  </si>
  <si>
    <t>Cargo</t>
  </si>
  <si>
    <t>Salario Mensual</t>
  </si>
  <si>
    <t>Días Laborados</t>
  </si>
  <si>
    <t>Básico a Pagar</t>
  </si>
  <si>
    <t>Auxilio de Transporte</t>
  </si>
  <si>
    <t>HED</t>
  </si>
  <si>
    <t>Valor HED</t>
  </si>
  <si>
    <t>HEN</t>
  </si>
  <si>
    <t>Valor HEN</t>
  </si>
  <si>
    <t>HFD</t>
  </si>
  <si>
    <t>Valor HFD</t>
  </si>
  <si>
    <t>HEFD</t>
  </si>
  <si>
    <t>Valor HEFD</t>
  </si>
  <si>
    <t>Total devengado</t>
  </si>
  <si>
    <t>EPS</t>
  </si>
  <si>
    <t>FP</t>
  </si>
  <si>
    <t>FSP</t>
  </si>
  <si>
    <t>Préstamos</t>
  </si>
  <si>
    <t>Total Deducciones</t>
  </si>
  <si>
    <t>Neto a pagar</t>
  </si>
  <si>
    <t>TOTALES</t>
  </si>
  <si>
    <t>IBC Salud Pensión</t>
  </si>
  <si>
    <t>APORTES SEGURO SOCIAL</t>
  </si>
  <si>
    <t>APORTES PARAFISCALES</t>
  </si>
  <si>
    <t>PROVISION PRESTACIONES SOCIALES</t>
  </si>
  <si>
    <t>Salud</t>
  </si>
  <si>
    <t>CCF</t>
  </si>
  <si>
    <t>cesantías</t>
  </si>
  <si>
    <t>Pensión</t>
  </si>
  <si>
    <t>I.C.B.F</t>
  </si>
  <si>
    <t>I. Cesantías</t>
  </si>
  <si>
    <t>IBC Riesgos y Parafiscales</t>
  </si>
  <si>
    <t>Riesgos</t>
  </si>
  <si>
    <t>SENA</t>
  </si>
  <si>
    <t>Prima servicios</t>
  </si>
  <si>
    <t>Vacaciones</t>
  </si>
  <si>
    <t>COSTO TOTAL EMPLEADOR</t>
  </si>
  <si>
    <t>HEFN</t>
  </si>
  <si>
    <t xml:space="preserve">Liquidación de nómina </t>
  </si>
  <si>
    <t xml:space="preserve">Periodo de pago: </t>
  </si>
  <si>
    <t>Maria Angélica Martínez</t>
  </si>
  <si>
    <t>Adriana Serrano</t>
  </si>
  <si>
    <t>Cristian Otálvaro</t>
  </si>
  <si>
    <t>Katherin Builes</t>
  </si>
  <si>
    <t>Mónica Valencia</t>
  </si>
  <si>
    <t>Ferney Zapata</t>
  </si>
  <si>
    <t>Maria Perez</t>
  </si>
  <si>
    <t>Liliam García</t>
  </si>
  <si>
    <t>Tatiana Gutierrez</t>
  </si>
  <si>
    <t>Euclides Meneses</t>
  </si>
  <si>
    <t>Jeison Berrio</t>
  </si>
  <si>
    <t>Juan Londoño</t>
  </si>
  <si>
    <t>Jairo Gonzalez</t>
  </si>
  <si>
    <t>Zulma Catañeda</t>
  </si>
  <si>
    <t>Oliva Castaño</t>
  </si>
  <si>
    <t>Daniela Jaramillo</t>
  </si>
  <si>
    <t>Marco Restrepo</t>
  </si>
  <si>
    <t>Francisco Gutierrez</t>
  </si>
  <si>
    <t>Ana María Isaza</t>
  </si>
  <si>
    <t>Luisa Fernanda Rojas</t>
  </si>
  <si>
    <t>Wilmar Uribe</t>
  </si>
  <si>
    <t>Joaquin Monsalve</t>
  </si>
  <si>
    <t>Jefe de Cocina</t>
  </si>
  <si>
    <t>Chef</t>
  </si>
  <si>
    <t>Stiward</t>
  </si>
  <si>
    <t>Cajera</t>
  </si>
  <si>
    <t>Gestión Humana</t>
  </si>
  <si>
    <t>Gerente</t>
  </si>
  <si>
    <t>Barman</t>
  </si>
  <si>
    <t>Asistente de Gestión Humana</t>
  </si>
  <si>
    <t>Mesera</t>
  </si>
  <si>
    <t>Mesero</t>
  </si>
  <si>
    <t>Auxiliar de Cocina</t>
  </si>
  <si>
    <t>Vigilante</t>
  </si>
  <si>
    <t>Administradora del Bar</t>
  </si>
  <si>
    <t>S.M.L.V.</t>
  </si>
  <si>
    <t xml:space="preserve">EMPLEADOS </t>
  </si>
  <si>
    <t xml:space="preserve">DESCUENTOS </t>
  </si>
  <si>
    <t xml:space="preserve">TOTAL </t>
  </si>
  <si>
    <t>No.</t>
  </si>
  <si>
    <t>C.C.</t>
  </si>
  <si>
    <t>EMPLEADO</t>
  </si>
  <si>
    <t>CARGO</t>
  </si>
  <si>
    <t>TIPO DE CARGO</t>
  </si>
  <si>
    <t>FECHA DE INGRESO</t>
  </si>
  <si>
    <t>FECHA DE RETIRO</t>
  </si>
  <si>
    <t xml:space="preserve">DIAS TRABAJADOS </t>
  </si>
  <si>
    <t xml:space="preserve">AUX DE TRANSPORTE </t>
  </si>
  <si>
    <t>VALOR INCAPCIDAD</t>
  </si>
  <si>
    <t>ACCIDENTE DE TRABAJO</t>
  </si>
  <si>
    <t>VALOR AT</t>
  </si>
  <si>
    <t xml:space="preserve">SUSPENSION </t>
  </si>
  <si>
    <t>LIC. NO REMUNERADA</t>
  </si>
  <si>
    <t>VACACIONES</t>
  </si>
  <si>
    <t>VALOR VACACIONES</t>
  </si>
  <si>
    <t xml:space="preserve">LIC. POR LUTO </t>
  </si>
  <si>
    <t xml:space="preserve">VALOR LIC. POR LUTO </t>
  </si>
  <si>
    <t>LIC. REMUNERADA</t>
  </si>
  <si>
    <t>VALOR LIC. REMUNERADA</t>
  </si>
  <si>
    <t>LIC. DE MATERNIDAD</t>
  </si>
  <si>
    <t>VALOR LIC. MATERNIDAD</t>
  </si>
  <si>
    <t>H.O</t>
  </si>
  <si>
    <t>VALOR H.O</t>
  </si>
  <si>
    <t>R.N</t>
  </si>
  <si>
    <t>VALOR R.N</t>
  </si>
  <si>
    <t>R.F.D</t>
  </si>
  <si>
    <t>VALOR R.F.D</t>
  </si>
  <si>
    <t>H.E.D</t>
  </si>
  <si>
    <t>VALOR H.E.D</t>
  </si>
  <si>
    <t>H.E.N</t>
  </si>
  <si>
    <t>VALOR H.E.N</t>
  </si>
  <si>
    <t>H.E.F.D.</t>
  </si>
  <si>
    <t>VALOR H.E.F.D</t>
  </si>
  <si>
    <t>H.E.F.N.</t>
  </si>
  <si>
    <t>VALOR H.E.F.N</t>
  </si>
  <si>
    <t>R.F.N</t>
  </si>
  <si>
    <t>VALOR R.F.N</t>
  </si>
  <si>
    <t>COMISIONES Y OTROS DEVENGOS PRESTACIONALES</t>
  </si>
  <si>
    <t>BONIFICACIONES Y OTROS NO  PRESTACIONALES</t>
  </si>
  <si>
    <t>AUXILIOS</t>
  </si>
  <si>
    <t>TOTAL DEVENGADO</t>
  </si>
  <si>
    <t>SALUD</t>
  </si>
  <si>
    <t>PENSION</t>
  </si>
  <si>
    <t xml:space="preserve">PRESTAMOS </t>
  </si>
  <si>
    <t>F.S.P</t>
  </si>
  <si>
    <t xml:space="preserve">TOTAL DESCUENTOS </t>
  </si>
  <si>
    <t xml:space="preserve">NETO A PAGAR </t>
  </si>
  <si>
    <t>ADMON</t>
  </si>
  <si>
    <t>OPERAT</t>
  </si>
  <si>
    <t>REPORTE DE NOVEDADES</t>
  </si>
  <si>
    <t>DESDE EL DIA</t>
  </si>
  <si>
    <t>HASTA EL DIA</t>
  </si>
  <si>
    <t>NOVEDAD</t>
  </si>
  <si>
    <t>ASIGNAR ESTAS NOVEDADES A DIFERENTES EMPLEADOS</t>
  </si>
  <si>
    <t>Licencia de Maternidad</t>
  </si>
  <si>
    <t>Enfermedad General</t>
  </si>
  <si>
    <t>Incapacidad por Accidente de Trabajo</t>
  </si>
  <si>
    <t>RETIRO</t>
  </si>
  <si>
    <t>7 de Octubre</t>
  </si>
  <si>
    <t>INGRESOS</t>
  </si>
  <si>
    <t>SUSPENSION</t>
  </si>
  <si>
    <t>LUTO</t>
  </si>
  <si>
    <t>HORAS EXTRAS Y RECARGOS (Repartir entre empleados)</t>
  </si>
  <si>
    <t>Recargo Nocturno</t>
  </si>
  <si>
    <t>Extra. Festiva. Diurna.</t>
  </si>
  <si>
    <t>Hora. Extra. Diurna.</t>
  </si>
  <si>
    <t>Hora. Extra. Nocturna.</t>
  </si>
  <si>
    <t>Hora .Extra. Festiva. Diurna.</t>
  </si>
  <si>
    <t>Hora. Extra. Festiva. Nocturna.</t>
  </si>
  <si>
    <t>BONIFICACION $350,000</t>
  </si>
  <si>
    <t>BONIFICACION $120,000</t>
  </si>
  <si>
    <t>COMISION $320,000</t>
  </si>
  <si>
    <t>AUXILIO ESTUDIO $420,000</t>
  </si>
  <si>
    <t>PRESTAMO $300,000</t>
  </si>
  <si>
    <t>ABONO PRESTAMO $130,000</t>
  </si>
  <si>
    <t>ABONO PRESTAMO $50,000</t>
  </si>
  <si>
    <t>*</t>
  </si>
  <si>
    <t>x</t>
  </si>
  <si>
    <t>Vigente</t>
  </si>
  <si>
    <t>.</t>
  </si>
  <si>
    <t>Administrador del restaurante- Bar</t>
  </si>
  <si>
    <t>PLANILLA DE NÓMINA DEL MES DE SEPTIEMBRE</t>
  </si>
  <si>
    <t xml:space="preserve">CARGOS </t>
  </si>
  <si>
    <t>SALARIOS</t>
  </si>
  <si>
    <t>X</t>
  </si>
  <si>
    <t>Y</t>
  </si>
  <si>
    <t>XY</t>
  </si>
  <si>
    <t>CARGOS</t>
  </si>
  <si>
    <t>INGRESO</t>
  </si>
  <si>
    <t>B=</t>
  </si>
  <si>
    <r>
      <t>N(X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)- (X)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   </t>
    </r>
    <r>
      <rPr>
        <vertAlign val="superscript"/>
        <sz val="11"/>
        <color theme="1"/>
        <rFont val="Arial"/>
        <family val="2"/>
      </rPr>
      <t xml:space="preserve">                  </t>
    </r>
  </si>
  <si>
    <t>A=</t>
  </si>
  <si>
    <t xml:space="preserve">A= </t>
  </si>
  <si>
    <t>N</t>
  </si>
  <si>
    <t>FACTOR DE INCREMENTO</t>
  </si>
  <si>
    <t>Y=</t>
  </si>
  <si>
    <t>ASIGNACIÓN SALARIAL comparación por PARES</t>
  </si>
  <si>
    <t>ASIGNACIÓN SALARIAL MÍNIMOS CUADRADOS</t>
  </si>
  <si>
    <r>
      <t>X</t>
    </r>
    <r>
      <rPr>
        <vertAlign val="superscript"/>
        <sz val="11"/>
        <color theme="1"/>
        <rFont val="Arial"/>
        <family val="2"/>
      </rPr>
      <t>2</t>
    </r>
  </si>
  <si>
    <t>PLANILLA DE NÓMINA DEL MES DE OCTUBRE</t>
  </si>
  <si>
    <t>SALARIO BÁSICO</t>
  </si>
  <si>
    <t>INCAPA-CIDAD</t>
  </si>
  <si>
    <t>SALARIO MENSUAL</t>
  </si>
  <si>
    <t>AUX. TRANSPORTE</t>
  </si>
  <si>
    <r>
      <t xml:space="preserve">N </t>
    </r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Arial"/>
        <family val="2"/>
      </rPr>
      <t xml:space="preserve"> X - </t>
    </r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Arial"/>
        <family val="2"/>
      </rPr>
      <t xml:space="preserve"> X </t>
    </r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Arial"/>
        <family val="2"/>
      </rPr>
      <t xml:space="preserve"> Y</t>
    </r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</si>
  <si>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Arial"/>
        <family val="2"/>
      </rPr>
      <t xml:space="preserve"> Y- B </t>
    </r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Arial"/>
        <family val="2"/>
      </rPr>
      <t xml:space="preserve"> X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</si>
  <si>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Arial"/>
        <family val="2"/>
      </rPr>
      <t>%</t>
    </r>
  </si>
  <si>
    <t>FECHA DE INICIO</t>
  </si>
  <si>
    <t>FECHA PARA CESANTIAS</t>
  </si>
  <si>
    <t>FECHA PARA PRIMA</t>
  </si>
  <si>
    <t>DÍAS CESANTÍAS</t>
  </si>
  <si>
    <t>DÍAS PRIMA</t>
  </si>
  <si>
    <t>DÍAS VACACIONES</t>
  </si>
  <si>
    <t>SALARIO BÁSICO MENSUAL</t>
  </si>
  <si>
    <t>AUXILIO DE TRANSPORTE</t>
  </si>
  <si>
    <t>HORAS EXTRAS</t>
  </si>
  <si>
    <t>CESANTÍAS</t>
  </si>
  <si>
    <t>INTERESES A LAS CESANTÍAS</t>
  </si>
  <si>
    <t>PRIMA DE SERVICIOS</t>
  </si>
  <si>
    <t>TOTAL</t>
  </si>
  <si>
    <t xml:space="preserve">LIQUIDACION DE CONTRATO DE TRABAJO </t>
  </si>
  <si>
    <t>CONTRATO  A TERMINO INDEFINIDO</t>
  </si>
  <si>
    <t>NOMBRE DEL TRABAJADOR:</t>
  </si>
  <si>
    <t>DIAS LABORADOS</t>
  </si>
  <si>
    <t>FECHA DE TERMINACION</t>
  </si>
  <si>
    <t>SALARIO BASE</t>
  </si>
  <si>
    <t>CESANTIAS</t>
  </si>
  <si>
    <t>LIQUIDACION</t>
  </si>
  <si>
    <t>INTERESES A LAS CESANTIAS</t>
  </si>
  <si>
    <t>VALOR TOTAL A PAGAR</t>
  </si>
  <si>
    <t>EMPLEADOR</t>
  </si>
  <si>
    <t xml:space="preserve"> EMPLEADO</t>
  </si>
  <si>
    <t>FECHE DE RETIRO</t>
  </si>
  <si>
    <t>FECHA PARA VACACIO-NES</t>
  </si>
  <si>
    <t>VACACI-ONES</t>
  </si>
  <si>
    <t>ASUNTO</t>
  </si>
  <si>
    <t>RENUNCIA VOLUNTARIA LABORALMENTE</t>
  </si>
  <si>
    <t>Yo Luisa Fernanda Rojas identificada con C.C  101500572</t>
  </si>
  <si>
    <t>renuncio voluntariamente a laborar para Kaoba Restaurante-Bar a partir</t>
  </si>
  <si>
    <t>del día de hoy 03 de octubre del 2015 por motivos personales.</t>
  </si>
  <si>
    <t>Muchas gracias por la oportunidad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</si>
</sst>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_-;\-* #,##0.0_-;_-* &quot;-&quot;_-;_-@_-"/>
    <numFmt numFmtId="167" formatCode="0.0%"/>
    <numFmt numFmtId="168" formatCode="_-* #,##0_-;\-* #,##0_-;_-* &quot;-&quot;??_-;_-@_-"/>
    <numFmt numFmtId="169" formatCode="_-* #,##0.0_-;\-* #,##0.0_-;_-* &quot;-&quot;?_-;_-@_-"/>
    <numFmt numFmtId="170" formatCode="_([$$-240A]\ * #,##0_);_([$$-240A]\ * \(#,##0\);_([$$-240A]\ * &quot;-&quot;??_);_(@_)"/>
    <numFmt numFmtId="171" formatCode="&quot;$&quot;\ #,##0"/>
    <numFmt numFmtId="172" formatCode="_(&quot;$&quot;\ * #,##0_);_(&quot;$&quot;\ * \(#,##0\);_(&quot;$&quot;\ * &quot;-&quot;??_);_(@_)"/>
    <numFmt numFmtId="173" formatCode="0.000%"/>
    <numFmt numFmtId="174" formatCode="_(* #,##0_);_(* \(#,##0\);_(* &quot;-&quot;??_);_(@_)"/>
    <numFmt numFmtId="175" formatCode="_ &quot;$&quot;\ * #,##0_ ;_ &quot;$&quot;\ * \-#,##0_ ;_ &quot;$&quot;\ * &quot;-&quot;??_ ;_ @_ "/>
  </numFmts>
  <fonts count="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Showcard Gothic"/>
      <family val="5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Candara"/>
      <family val="2"/>
    </font>
    <font>
      <sz val="12"/>
      <color theme="1"/>
      <name val="Candara"/>
      <family val="2"/>
    </font>
    <font>
      <sz val="12"/>
      <color theme="0"/>
      <name val="Candara"/>
      <family val="2"/>
    </font>
    <font>
      <sz val="12"/>
      <color rgb="FF006100"/>
      <name val="Candara"/>
      <family val="2"/>
    </font>
    <font>
      <b/>
      <sz val="12"/>
      <color rgb="FFFA7D00"/>
      <name val="Candara"/>
      <family val="2"/>
    </font>
    <font>
      <b/>
      <sz val="12"/>
      <color theme="0"/>
      <name val="Candara"/>
      <family val="2"/>
    </font>
    <font>
      <sz val="12"/>
      <color rgb="FFFA7D00"/>
      <name val="Candara"/>
      <family val="2"/>
    </font>
    <font>
      <b/>
      <sz val="11"/>
      <color theme="3"/>
      <name val="Candara"/>
      <family val="2"/>
    </font>
    <font>
      <sz val="12"/>
      <color rgb="FF3F3F76"/>
      <name val="Candara"/>
      <family val="2"/>
    </font>
    <font>
      <sz val="12"/>
      <color rgb="FF9C0006"/>
      <name val="Candara"/>
      <family val="2"/>
    </font>
    <font>
      <sz val="12"/>
      <color rgb="FF9C6500"/>
      <name val="Candara"/>
      <family val="2"/>
    </font>
    <font>
      <b/>
      <sz val="12"/>
      <color rgb="FF3F3F3F"/>
      <name val="Candara"/>
      <family val="2"/>
    </font>
    <font>
      <sz val="12"/>
      <color rgb="FFFF0000"/>
      <name val="Candara"/>
      <family val="2"/>
    </font>
    <font>
      <i/>
      <sz val="12"/>
      <color rgb="FF7F7F7F"/>
      <name val="Candar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ndara"/>
      <family val="2"/>
    </font>
    <font>
      <b/>
      <sz val="13"/>
      <color theme="3"/>
      <name val="Candara"/>
      <family val="2"/>
    </font>
    <font>
      <b/>
      <sz val="12"/>
      <color theme="1"/>
      <name val="Candara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C00000"/>
      <name val="Arial"/>
      <family val="2"/>
    </font>
    <font>
      <sz val="18"/>
      <color indexed="8"/>
      <name val="Arial"/>
      <family val="2"/>
    </font>
    <font>
      <b/>
      <sz val="20"/>
      <color theme="9" tint="-0.249977111117893"/>
      <name val="Algerian"/>
      <family val="5"/>
    </font>
    <font>
      <sz val="10"/>
      <color theme="1"/>
      <name val="Arial"/>
      <family val="2"/>
    </font>
    <font>
      <sz val="10"/>
      <color theme="9" tint="-0.249977111117893"/>
      <name val="Arial"/>
      <family val="2"/>
    </font>
    <font>
      <sz val="48"/>
      <color theme="9" tint="-0.249977111117893"/>
      <name val="Arial"/>
      <family val="2"/>
    </font>
    <font>
      <vertAlign val="superscript"/>
      <sz val="11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20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color theme="1"/>
      <name val="Symbol"/>
      <family val="1"/>
      <charset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8"/>
      <color theme="1"/>
      <name val="Calibri"/>
      <family val="2"/>
      <scheme val="minor"/>
    </font>
    <font>
      <sz val="12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theme="9" tint="-0.249977111117893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5">
    <xf numFmtId="0" fontId="0" fillId="0" borderId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29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21" borderId="0" applyNumberFormat="0" applyBorder="0" applyAlignment="0" applyProtection="0"/>
    <xf numFmtId="0" fontId="12" fillId="31" borderId="0" applyNumberFormat="0" applyBorder="0" applyAlignment="0" applyProtection="0"/>
    <xf numFmtId="0" fontId="13" fillId="2" borderId="0" applyNumberFormat="0" applyBorder="0" applyAlignment="0" applyProtection="0"/>
    <xf numFmtId="0" fontId="14" fillId="6" borderId="19" applyNumberFormat="0" applyAlignment="0" applyProtection="0"/>
    <xf numFmtId="0" fontId="15" fillId="7" borderId="22" applyNumberFormat="0" applyAlignment="0" applyProtection="0"/>
    <xf numFmtId="0" fontId="16" fillId="0" borderId="21" applyNumberFormat="0" applyFill="0" applyAlignment="0" applyProtection="0"/>
    <xf numFmtId="0" fontId="17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8" fillId="5" borderId="19" applyNumberFormat="0" applyAlignment="0" applyProtection="0"/>
    <xf numFmtId="0" fontId="19" fillId="3" borderId="0" applyNumberFormat="0" applyBorder="0" applyAlignment="0" applyProtection="0"/>
    <xf numFmtId="44" fontId="9" fillId="0" borderId="0" applyFont="0" applyFill="0" applyBorder="0" applyAlignment="0" applyProtection="0"/>
    <xf numFmtId="0" fontId="20" fillId="4" borderId="0" applyNumberFormat="0" applyBorder="0" applyAlignment="0" applyProtection="0"/>
    <xf numFmtId="0" fontId="11" fillId="0" borderId="0"/>
    <xf numFmtId="0" fontId="10" fillId="8" borderId="23" applyNumberFormat="0" applyFont="0" applyAlignment="0" applyProtection="0"/>
    <xf numFmtId="0" fontId="21" fillId="6" borderId="20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26" fillId="0" borderId="17" applyNumberFormat="0" applyFill="0" applyAlignment="0" applyProtection="0"/>
    <xf numFmtId="0" fontId="17" fillId="0" borderId="18" applyNumberFormat="0" applyFill="0" applyAlignment="0" applyProtection="0"/>
    <xf numFmtId="0" fontId="27" fillId="0" borderId="24" applyNumberFormat="0" applyFill="0" applyAlignment="0" applyProtection="0"/>
    <xf numFmtId="44" fontId="9" fillId="0" borderId="0" applyFont="0" applyFill="0" applyBorder="0" applyAlignment="0" applyProtection="0"/>
  </cellStyleXfs>
  <cellXfs count="330">
    <xf numFmtId="0" fontId="0" fillId="0" borderId="0" xfId="0"/>
    <xf numFmtId="0" fontId="0" fillId="0" borderId="0" xfId="0"/>
    <xf numFmtId="0" fontId="0" fillId="0" borderId="0" xfId="0" applyFill="1"/>
    <xf numFmtId="0" fontId="4" fillId="0" borderId="1" xfId="0" applyFont="1" applyFill="1" applyBorder="1"/>
    <xf numFmtId="0" fontId="4" fillId="0" borderId="4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164" fontId="5" fillId="0" borderId="1" xfId="0" applyNumberFormat="1" applyFont="1" applyFill="1" applyBorder="1"/>
    <xf numFmtId="164" fontId="5" fillId="0" borderId="1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right"/>
    </xf>
    <xf numFmtId="166" fontId="5" fillId="0" borderId="1" xfId="0" applyNumberFormat="1" applyFont="1" applyFill="1" applyBorder="1"/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center"/>
    </xf>
    <xf numFmtId="164" fontId="5" fillId="0" borderId="5" xfId="0" applyNumberFormat="1" applyFont="1" applyFill="1" applyBorder="1"/>
    <xf numFmtId="0" fontId="4" fillId="0" borderId="5" xfId="0" applyFont="1" applyFill="1" applyBorder="1"/>
    <xf numFmtId="164" fontId="1" fillId="0" borderId="5" xfId="0" applyNumberFormat="1" applyFont="1" applyFill="1" applyBorder="1"/>
    <xf numFmtId="0" fontId="1" fillId="0" borderId="0" xfId="0" applyFont="1" applyFill="1"/>
    <xf numFmtId="0" fontId="7" fillId="0" borderId="0" xfId="0" applyFont="1" applyFill="1"/>
    <xf numFmtId="164" fontId="7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1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0" xfId="0" applyFont="1" applyFill="1" applyBorder="1"/>
    <xf numFmtId="164" fontId="1" fillId="0" borderId="9" xfId="0" applyNumberFormat="1" applyFont="1" applyFill="1" applyBorder="1"/>
    <xf numFmtId="0" fontId="1" fillId="0" borderId="10" xfId="0" applyFont="1" applyFill="1" applyBorder="1"/>
    <xf numFmtId="167" fontId="1" fillId="0" borderId="1" xfId="0" applyNumberFormat="1" applyFont="1" applyFill="1" applyBorder="1"/>
    <xf numFmtId="0" fontId="1" fillId="0" borderId="2" xfId="0" applyFont="1" applyFill="1" applyBorder="1"/>
    <xf numFmtId="9" fontId="1" fillId="0" borderId="4" xfId="0" applyNumberFormat="1" applyFont="1" applyFill="1" applyBorder="1"/>
    <xf numFmtId="10" fontId="1" fillId="0" borderId="2" xfId="0" applyNumberFormat="1" applyFont="1" applyFill="1" applyBorder="1"/>
    <xf numFmtId="168" fontId="1" fillId="0" borderId="2" xfId="0" applyNumberFormat="1" applyFont="1" applyFill="1" applyBorder="1"/>
    <xf numFmtId="9" fontId="1" fillId="0" borderId="1" xfId="0" applyNumberFormat="1" applyFont="1" applyFill="1" applyBorder="1"/>
    <xf numFmtId="9" fontId="1" fillId="0" borderId="3" xfId="0" applyNumberFormat="1" applyFont="1" applyFill="1" applyBorder="1"/>
    <xf numFmtId="9" fontId="1" fillId="0" borderId="2" xfId="0" applyNumberFormat="1" applyFont="1" applyFill="1" applyBorder="1"/>
    <xf numFmtId="10" fontId="1" fillId="0" borderId="1" xfId="0" applyNumberFormat="1" applyFont="1" applyFill="1" applyBorder="1"/>
    <xf numFmtId="9" fontId="1" fillId="0" borderId="7" xfId="0" applyNumberFormat="1" applyFont="1" applyFill="1" applyBorder="1"/>
    <xf numFmtId="0" fontId="1" fillId="0" borderId="2" xfId="0" applyFont="1" applyFill="1" applyBorder="1" applyAlignment="1"/>
    <xf numFmtId="0" fontId="0" fillId="0" borderId="2" xfId="0" applyFill="1" applyBorder="1" applyAlignment="1"/>
    <xf numFmtId="0" fontId="0" fillId="0" borderId="4" xfId="0" applyFill="1" applyBorder="1" applyAlignment="1"/>
    <xf numFmtId="10" fontId="1" fillId="0" borderId="8" xfId="0" applyNumberFormat="1" applyFont="1" applyFill="1" applyBorder="1"/>
    <xf numFmtId="165" fontId="1" fillId="0" borderId="2" xfId="0" applyNumberFormat="1" applyFont="1" applyFill="1" applyBorder="1"/>
    <xf numFmtId="165" fontId="1" fillId="0" borderId="2" xfId="0" applyNumberFormat="1" applyFont="1" applyFill="1" applyBorder="1" applyAlignment="1"/>
    <xf numFmtId="0" fontId="1" fillId="0" borderId="4" xfId="0" applyFont="1" applyFill="1" applyBorder="1" applyAlignment="1"/>
    <xf numFmtId="0" fontId="1" fillId="0" borderId="9" xfId="0" applyFont="1" applyFill="1" applyBorder="1"/>
    <xf numFmtId="168" fontId="1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center" vertical="center" wrapText="1"/>
    </xf>
    <xf numFmtId="15" fontId="28" fillId="0" borderId="35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 wrapText="1"/>
    </xf>
    <xf numFmtId="0" fontId="29" fillId="0" borderId="27" xfId="0" applyFont="1" applyFill="1" applyBorder="1" applyAlignment="1">
      <alignment horizontal="center" vertical="center" wrapText="1"/>
    </xf>
    <xf numFmtId="15" fontId="29" fillId="0" borderId="27" xfId="0" applyNumberFormat="1" applyFont="1" applyFill="1" applyBorder="1" applyAlignment="1">
      <alignment horizontal="center" vertical="center" wrapText="1"/>
    </xf>
    <xf numFmtId="1" fontId="29" fillId="0" borderId="27" xfId="0" applyNumberFormat="1" applyFont="1" applyFill="1" applyBorder="1" applyAlignment="1">
      <alignment horizontal="center" vertical="center" wrapText="1"/>
    </xf>
    <xf numFmtId="0" fontId="28" fillId="0" borderId="36" xfId="0" applyFont="1" applyFill="1" applyBorder="1" applyAlignment="1">
      <alignment horizontal="center" vertical="center" wrapText="1"/>
    </xf>
    <xf numFmtId="15" fontId="28" fillId="0" borderId="37" xfId="0" applyNumberFormat="1" applyFont="1" applyFill="1" applyBorder="1" applyAlignment="1">
      <alignment horizontal="center" vertical="center" wrapText="1"/>
    </xf>
    <xf numFmtId="0" fontId="28" fillId="0" borderId="38" xfId="0" applyFont="1" applyFill="1" applyBorder="1" applyAlignment="1">
      <alignment horizontal="center" vertical="center" wrapText="1"/>
    </xf>
    <xf numFmtId="15" fontId="28" fillId="0" borderId="43" xfId="0" applyNumberFormat="1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 wrapText="1"/>
    </xf>
    <xf numFmtId="0" fontId="28" fillId="0" borderId="31" xfId="0" applyFont="1" applyFill="1" applyBorder="1" applyAlignment="1">
      <alignment horizontal="center" vertical="center" wrapText="1"/>
    </xf>
    <xf numFmtId="15" fontId="28" fillId="0" borderId="32" xfId="0" applyNumberFormat="1" applyFont="1" applyFill="1" applyBorder="1" applyAlignment="1">
      <alignment horizontal="center" vertical="center" wrapText="1"/>
    </xf>
    <xf numFmtId="15" fontId="28" fillId="0" borderId="33" xfId="0" applyNumberFormat="1" applyFont="1" applyFill="1" applyBorder="1" applyAlignment="1">
      <alignment horizontal="center" vertical="center" wrapText="1"/>
    </xf>
    <xf numFmtId="0" fontId="28" fillId="0" borderId="34" xfId="0" applyFont="1" applyFill="1" applyBorder="1" applyAlignment="1">
      <alignment horizontal="center" vertical="center" wrapText="1"/>
    </xf>
    <xf numFmtId="15" fontId="28" fillId="0" borderId="3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71" fontId="33" fillId="34" borderId="1" xfId="0" applyNumberFormat="1" applyFont="1" applyFill="1" applyBorder="1" applyAlignment="1">
      <alignment horizontal="center" vertical="center"/>
    </xf>
    <xf numFmtId="171" fontId="33" fillId="34" borderId="0" xfId="0" applyNumberFormat="1" applyFont="1" applyFill="1" applyBorder="1" applyAlignment="1">
      <alignment vertical="center"/>
    </xf>
    <xf numFmtId="0" fontId="33" fillId="0" borderId="0" xfId="0" applyFont="1"/>
    <xf numFmtId="171" fontId="33" fillId="34" borderId="1" xfId="0" applyNumberFormat="1" applyFont="1" applyFill="1" applyBorder="1" applyAlignment="1">
      <alignment vertical="center"/>
    </xf>
    <xf numFmtId="0" fontId="33" fillId="0" borderId="0" xfId="0" applyFont="1" applyAlignment="1">
      <alignment horizontal="left" vertical="center"/>
    </xf>
    <xf numFmtId="3" fontId="33" fillId="0" borderId="1" xfId="0" applyNumberFormat="1" applyFont="1" applyBorder="1" applyAlignment="1">
      <alignment horizontal="center" vertical="center" wrapText="1"/>
    </xf>
    <xf numFmtId="3" fontId="35" fillId="0" borderId="1" xfId="34" applyNumberFormat="1" applyFont="1" applyBorder="1" applyAlignment="1">
      <alignment horizontal="center" vertical="center"/>
    </xf>
    <xf numFmtId="14" fontId="35" fillId="0" borderId="1" xfId="34" applyNumberFormat="1" applyFont="1" applyBorder="1" applyAlignment="1">
      <alignment vertical="center"/>
    </xf>
    <xf numFmtId="170" fontId="33" fillId="33" borderId="1" xfId="32" applyNumberFormat="1" applyFont="1" applyFill="1" applyBorder="1" applyAlignment="1">
      <alignment horizontal="center" vertical="center" wrapText="1"/>
    </xf>
    <xf numFmtId="0" fontId="33" fillId="33" borderId="1" xfId="0" applyFont="1" applyFill="1" applyBorder="1" applyAlignment="1">
      <alignment horizontal="center" vertical="center" wrapText="1"/>
    </xf>
    <xf numFmtId="3" fontId="33" fillId="33" borderId="1" xfId="32" applyNumberFormat="1" applyFont="1" applyFill="1" applyBorder="1" applyAlignment="1">
      <alignment horizontal="center" vertical="center" wrapText="1"/>
    </xf>
    <xf numFmtId="170" fontId="33" fillId="0" borderId="1" xfId="32" applyNumberFormat="1" applyFont="1" applyBorder="1" applyAlignment="1">
      <alignment horizontal="center" vertical="center" wrapText="1"/>
    </xf>
    <xf numFmtId="170" fontId="33" fillId="34" borderId="1" xfId="0" applyNumberFormat="1" applyFont="1" applyFill="1" applyBorder="1" applyAlignment="1">
      <alignment vertical="center" wrapText="1"/>
    </xf>
    <xf numFmtId="170" fontId="33" fillId="33" borderId="1" xfId="0" applyNumberFormat="1" applyFont="1" applyFill="1" applyBorder="1" applyAlignment="1">
      <alignment vertical="center" wrapText="1"/>
    </xf>
    <xf numFmtId="0" fontId="33" fillId="0" borderId="0" xfId="0" applyFont="1" applyAlignment="1">
      <alignment vertical="center" wrapText="1"/>
    </xf>
    <xf numFmtId="0" fontId="33" fillId="0" borderId="0" xfId="0" applyFont="1" applyBorder="1" applyAlignment="1">
      <alignment vertical="center" wrapText="1"/>
    </xf>
    <xf numFmtId="3" fontId="33" fillId="0" borderId="1" xfId="0" applyNumberFormat="1" applyFont="1" applyFill="1" applyBorder="1" applyAlignment="1">
      <alignment horizontal="center" vertical="center" wrapText="1"/>
    </xf>
    <xf numFmtId="3" fontId="35" fillId="0" borderId="1" xfId="34" applyNumberFormat="1" applyFont="1" applyFill="1" applyBorder="1" applyAlignment="1">
      <alignment horizontal="center" vertical="center"/>
    </xf>
    <xf numFmtId="0" fontId="35" fillId="0" borderId="1" xfId="34" applyFont="1" applyFill="1" applyBorder="1" applyAlignment="1">
      <alignment vertical="center"/>
    </xf>
    <xf numFmtId="14" fontId="35" fillId="0" borderId="1" xfId="34" applyNumberFormat="1" applyFont="1" applyFill="1" applyBorder="1" applyAlignment="1">
      <alignment vertical="center"/>
    </xf>
    <xf numFmtId="170" fontId="33" fillId="0" borderId="1" xfId="32" applyNumberFormat="1" applyFont="1" applyFill="1" applyBorder="1" applyAlignment="1">
      <alignment horizontal="center" vertical="center" wrapText="1"/>
    </xf>
    <xf numFmtId="0" fontId="33" fillId="0" borderId="0" xfId="0" applyFont="1" applyFill="1" applyAlignment="1">
      <alignment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6" fillId="33" borderId="1" xfId="0" applyFont="1" applyFill="1" applyBorder="1" applyAlignment="1">
      <alignment horizontal="center" vertical="center" wrapText="1"/>
    </xf>
    <xf numFmtId="0" fontId="35" fillId="0" borderId="1" xfId="34" applyFont="1" applyFill="1" applyBorder="1" applyAlignment="1">
      <alignment horizontal="left" vertical="center"/>
    </xf>
    <xf numFmtId="0" fontId="35" fillId="0" borderId="1" xfId="34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8" fillId="0" borderId="1" xfId="34" applyFont="1" applyBorder="1" applyAlignment="1">
      <alignment horizontal="center" vertical="center"/>
    </xf>
    <xf numFmtId="0" fontId="38" fillId="0" borderId="1" xfId="34" applyFont="1" applyFill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1" fillId="0" borderId="44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28" fillId="32" borderId="40" xfId="0" applyFont="1" applyFill="1" applyBorder="1" applyAlignment="1">
      <alignment horizontal="center" vertical="center" wrapText="1"/>
    </xf>
    <xf numFmtId="14" fontId="33" fillId="33" borderId="1" xfId="0" applyNumberFormat="1" applyFont="1" applyFill="1" applyBorder="1" applyAlignment="1">
      <alignment horizontal="center" vertical="center" wrapText="1"/>
    </xf>
    <xf numFmtId="41" fontId="0" fillId="0" borderId="0" xfId="0" applyNumberFormat="1"/>
    <xf numFmtId="41" fontId="33" fillId="0" borderId="0" xfId="0" applyNumberFormat="1" applyFont="1"/>
    <xf numFmtId="16" fontId="33" fillId="33" borderId="1" xfId="0" applyNumberFormat="1" applyFont="1" applyFill="1" applyBorder="1" applyAlignment="1">
      <alignment horizontal="center" vertical="center" wrapText="1"/>
    </xf>
    <xf numFmtId="15" fontId="28" fillId="37" borderId="35" xfId="0" applyNumberFormat="1" applyFont="1" applyFill="1" applyBorder="1" applyAlignment="1">
      <alignment horizontal="center" vertical="center" wrapText="1"/>
    </xf>
    <xf numFmtId="0" fontId="28" fillId="37" borderId="36" xfId="0" applyFont="1" applyFill="1" applyBorder="1" applyAlignment="1">
      <alignment horizontal="center" vertical="center" wrapText="1"/>
    </xf>
    <xf numFmtId="1" fontId="28" fillId="37" borderId="36" xfId="0" applyNumberFormat="1" applyFont="1" applyFill="1" applyBorder="1" applyAlignment="1">
      <alignment horizontal="center" vertical="center" wrapText="1"/>
    </xf>
    <xf numFmtId="1" fontId="33" fillId="33" borderId="1" xfId="0" applyNumberFormat="1" applyFont="1" applyFill="1" applyBorder="1" applyAlignment="1">
      <alignment horizontal="center" vertical="center" wrapText="1"/>
    </xf>
    <xf numFmtId="1" fontId="36" fillId="33" borderId="1" xfId="0" applyNumberFormat="1" applyFont="1" applyFill="1" applyBorder="1" applyAlignment="1">
      <alignment horizontal="center" vertical="center" wrapText="1"/>
    </xf>
    <xf numFmtId="15" fontId="28" fillId="37" borderId="43" xfId="0" applyNumberFormat="1" applyFont="1" applyFill="1" applyBorder="1" applyAlignment="1">
      <alignment horizontal="center" vertical="center" wrapText="1"/>
    </xf>
    <xf numFmtId="170" fontId="34" fillId="33" borderId="1" xfId="32" applyNumberFormat="1" applyFont="1" applyFill="1" applyBorder="1" applyAlignment="1">
      <alignment horizontal="center" vertical="center" wrapText="1"/>
    </xf>
    <xf numFmtId="41" fontId="33" fillId="0" borderId="1" xfId="32" applyNumberFormat="1" applyFont="1" applyBorder="1" applyAlignment="1">
      <alignment horizontal="center" vertical="center" wrapText="1"/>
    </xf>
    <xf numFmtId="41" fontId="33" fillId="33" borderId="1" xfId="0" applyNumberFormat="1" applyFont="1" applyFill="1" applyBorder="1" applyAlignment="1">
      <alignment vertical="center" wrapText="1"/>
    </xf>
    <xf numFmtId="41" fontId="33" fillId="0" borderId="1" xfId="32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44" fillId="32" borderId="0" xfId="0" applyFont="1" applyFill="1" applyBorder="1" applyAlignment="1">
      <alignment vertical="center" wrapText="1"/>
    </xf>
    <xf numFmtId="0" fontId="44" fillId="32" borderId="0" xfId="0" applyFont="1" applyFill="1" applyAlignment="1">
      <alignment vertical="center" wrapText="1"/>
    </xf>
    <xf numFmtId="0" fontId="44" fillId="32" borderId="0" xfId="0" applyFont="1" applyFill="1"/>
    <xf numFmtId="0" fontId="6" fillId="32" borderId="0" xfId="0" applyFont="1" applyFill="1" applyAlignment="1">
      <alignment horizontal="center" vertical="center" wrapText="1"/>
    </xf>
    <xf numFmtId="0" fontId="6" fillId="32" borderId="0" xfId="0" applyFont="1" applyFill="1" applyBorder="1" applyAlignment="1">
      <alignment horizontal="center" vertical="center" wrapText="1"/>
    </xf>
    <xf numFmtId="0" fontId="6" fillId="32" borderId="0" xfId="0" applyFont="1" applyFill="1" applyAlignment="1">
      <alignment wrapText="1"/>
    </xf>
    <xf numFmtId="0" fontId="8" fillId="32" borderId="0" xfId="0" applyFont="1" applyFill="1" applyAlignment="1">
      <alignment horizontal="center" vertical="center" wrapText="1"/>
    </xf>
    <xf numFmtId="0" fontId="8" fillId="32" borderId="0" xfId="0" applyFont="1" applyFill="1" applyBorder="1" applyAlignment="1">
      <alignment horizontal="center" vertical="center" wrapText="1"/>
    </xf>
    <xf numFmtId="0" fontId="8" fillId="32" borderId="0" xfId="0" applyFont="1" applyFill="1"/>
    <xf numFmtId="41" fontId="33" fillId="33" borderId="1" xfId="0" applyNumberFormat="1" applyFont="1" applyFill="1" applyBorder="1" applyAlignment="1">
      <alignment horizontal="center" vertical="center" wrapText="1"/>
    </xf>
    <xf numFmtId="0" fontId="44" fillId="37" borderId="26" xfId="0" applyFont="1" applyFill="1" applyBorder="1" applyAlignment="1">
      <alignment horizontal="center" vertical="center" wrapText="1"/>
    </xf>
    <xf numFmtId="0" fontId="44" fillId="37" borderId="25" xfId="0" applyFont="1" applyFill="1" applyBorder="1" applyAlignment="1">
      <alignment horizontal="center" vertical="center" wrapText="1"/>
    </xf>
    <xf numFmtId="0" fontId="6" fillId="34" borderId="1" xfId="0" applyFont="1" applyFill="1" applyBorder="1" applyAlignment="1">
      <alignment horizontal="center" vertical="center" wrapText="1"/>
    </xf>
    <xf numFmtId="0" fontId="8" fillId="34" borderId="5" xfId="0" applyFont="1" applyFill="1" applyBorder="1" applyAlignment="1">
      <alignment horizontal="center" vertical="center" wrapText="1"/>
    </xf>
    <xf numFmtId="9" fontId="8" fillId="34" borderId="1" xfId="0" applyNumberFormat="1" applyFont="1" applyFill="1" applyBorder="1" applyAlignment="1">
      <alignment horizontal="center" vertical="center" wrapText="1"/>
    </xf>
    <xf numFmtId="15" fontId="28" fillId="34" borderId="36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8" fillId="34" borderId="27" xfId="0" applyFont="1" applyFill="1" applyBorder="1" applyAlignment="1">
      <alignment vertical="center" wrapText="1"/>
    </xf>
    <xf numFmtId="0" fontId="8" fillId="34" borderId="5" xfId="0" applyFont="1" applyFill="1" applyBorder="1" applyAlignment="1">
      <alignment vertical="center" wrapText="1"/>
    </xf>
    <xf numFmtId="0" fontId="44" fillId="37" borderId="45" xfId="0" applyFont="1" applyFill="1" applyBorder="1" applyAlignment="1">
      <alignment vertical="center" wrapText="1"/>
    </xf>
    <xf numFmtId="0" fontId="44" fillId="37" borderId="46" xfId="0" applyFont="1" applyFill="1" applyBorder="1" applyAlignment="1">
      <alignment vertical="center" wrapText="1"/>
    </xf>
    <xf numFmtId="0" fontId="44" fillId="37" borderId="47" xfId="0" applyFont="1" applyFill="1" applyBorder="1" applyAlignment="1">
      <alignment vertical="center" wrapText="1"/>
    </xf>
    <xf numFmtId="172" fontId="34" fillId="34" borderId="1" xfId="44" applyNumberFormat="1" applyFont="1" applyFill="1" applyBorder="1" applyAlignment="1">
      <alignment vertical="center" wrapText="1"/>
    </xf>
    <xf numFmtId="41" fontId="33" fillId="33" borderId="1" xfId="44" applyNumberFormat="1" applyFont="1" applyFill="1" applyBorder="1" applyAlignment="1">
      <alignment horizontal="center" vertical="center" wrapText="1"/>
    </xf>
    <xf numFmtId="14" fontId="37" fillId="0" borderId="1" xfId="0" applyNumberFormat="1" applyFont="1" applyFill="1" applyBorder="1" applyAlignment="1">
      <alignment horizontal="left" vertical="center" wrapText="1"/>
    </xf>
    <xf numFmtId="0" fontId="46" fillId="0" borderId="0" xfId="0" applyFont="1"/>
    <xf numFmtId="0" fontId="47" fillId="0" borderId="0" xfId="0" applyFont="1"/>
    <xf numFmtId="0" fontId="45" fillId="0" borderId="0" xfId="0" applyFont="1"/>
    <xf numFmtId="167" fontId="45" fillId="0" borderId="1" xfId="0" applyNumberFormat="1" applyFont="1" applyBorder="1"/>
    <xf numFmtId="9" fontId="45" fillId="0" borderId="1" xfId="0" applyNumberFormat="1" applyFont="1" applyBorder="1"/>
    <xf numFmtId="173" fontId="45" fillId="0" borderId="1" xfId="0" applyNumberFormat="1" applyFont="1" applyBorder="1"/>
    <xf numFmtId="0" fontId="45" fillId="0" borderId="1" xfId="0" applyFont="1" applyBorder="1"/>
    <xf numFmtId="0" fontId="48" fillId="0" borderId="0" xfId="0" applyFont="1"/>
    <xf numFmtId="0" fontId="49" fillId="0" borderId="0" xfId="0" applyFont="1"/>
    <xf numFmtId="10" fontId="45" fillId="0" borderId="1" xfId="0" applyNumberFormat="1" applyFont="1" applyBorder="1"/>
    <xf numFmtId="41" fontId="50" fillId="35" borderId="1" xfId="0" applyNumberFormat="1" applyFont="1" applyFill="1" applyBorder="1" applyAlignment="1">
      <alignment horizontal="center" vertical="center"/>
    </xf>
    <xf numFmtId="41" fontId="50" fillId="35" borderId="1" xfId="0" applyNumberFormat="1" applyFont="1" applyFill="1" applyBorder="1" applyAlignment="1">
      <alignment vertical="center"/>
    </xf>
    <xf numFmtId="41" fontId="50" fillId="0" borderId="0" xfId="0" applyNumberFormat="1" applyFont="1"/>
    <xf numFmtId="0" fontId="51" fillId="0" borderId="0" xfId="0" applyFont="1" applyFill="1" applyBorder="1"/>
    <xf numFmtId="0" fontId="51" fillId="0" borderId="0" xfId="0" applyFont="1"/>
    <xf numFmtId="41" fontId="33" fillId="0" borderId="48" xfId="0" applyNumberFormat="1" applyFont="1" applyBorder="1"/>
    <xf numFmtId="0" fontId="33" fillId="0" borderId="48" xfId="0" applyFont="1" applyBorder="1"/>
    <xf numFmtId="0" fontId="0" fillId="0" borderId="48" xfId="0" applyBorder="1" applyAlignment="1">
      <alignment horizontal="center" vertical="center"/>
    </xf>
    <xf numFmtId="0" fontId="52" fillId="0" borderId="0" xfId="0" applyFont="1"/>
    <xf numFmtId="43" fontId="52" fillId="0" borderId="0" xfId="0" applyNumberFormat="1" applyFont="1"/>
    <xf numFmtId="0" fontId="33" fillId="0" borderId="50" xfId="0" applyFont="1" applyBorder="1"/>
    <xf numFmtId="9" fontId="33" fillId="0" borderId="50" xfId="0" applyNumberFormat="1" applyFont="1" applyBorder="1"/>
    <xf numFmtId="0" fontId="33" fillId="0" borderId="0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Fill="1" applyBorder="1" applyAlignment="1">
      <alignment horizontal="center"/>
    </xf>
    <xf numFmtId="43" fontId="33" fillId="0" borderId="48" xfId="0" applyNumberFormat="1" applyFont="1" applyBorder="1"/>
    <xf numFmtId="41" fontId="54" fillId="0" borderId="0" xfId="0" applyNumberFormat="1" applyFont="1"/>
    <xf numFmtId="0" fontId="55" fillId="0" borderId="0" xfId="0" applyFont="1"/>
    <xf numFmtId="0" fontId="28" fillId="36" borderId="34" xfId="0" applyFont="1" applyFill="1" applyBorder="1" applyAlignment="1">
      <alignment horizontal="center" vertical="center" wrapText="1"/>
    </xf>
    <xf numFmtId="175" fontId="59" fillId="0" borderId="44" xfId="44" applyNumberFormat="1" applyFont="1" applyBorder="1"/>
    <xf numFmtId="0" fontId="0" fillId="0" borderId="51" xfId="0" applyBorder="1"/>
    <xf numFmtId="0" fontId="0" fillId="0" borderId="44" xfId="0" applyBorder="1" applyAlignment="1">
      <alignment horizontal="center"/>
    </xf>
    <xf numFmtId="0" fontId="0" fillId="0" borderId="44" xfId="0" applyBorder="1"/>
    <xf numFmtId="175" fontId="0" fillId="0" borderId="52" xfId="0" applyNumberFormat="1" applyBorder="1"/>
    <xf numFmtId="0" fontId="0" fillId="0" borderId="53" xfId="0" applyBorder="1"/>
    <xf numFmtId="0" fontId="0" fillId="0" borderId="48" xfId="0" applyBorder="1"/>
    <xf numFmtId="0" fontId="0" fillId="0" borderId="48" xfId="0" applyBorder="1" applyAlignment="1">
      <alignment horizontal="center"/>
    </xf>
    <xf numFmtId="0" fontId="0" fillId="0" borderId="55" xfId="0" applyBorder="1"/>
    <xf numFmtId="0" fontId="0" fillId="0" borderId="44" xfId="0" applyBorder="1" applyAlignment="1">
      <alignment horizontal="left"/>
    </xf>
    <xf numFmtId="0" fontId="0" fillId="0" borderId="56" xfId="0" applyBorder="1"/>
    <xf numFmtId="0" fontId="0" fillId="0" borderId="29" xfId="0" applyBorder="1"/>
    <xf numFmtId="0" fontId="0" fillId="0" borderId="57" xfId="0" applyBorder="1"/>
    <xf numFmtId="0" fontId="60" fillId="0" borderId="53" xfId="0" applyFont="1" applyBorder="1"/>
    <xf numFmtId="175" fontId="60" fillId="0" borderId="58" xfId="0" applyNumberFormat="1" applyFont="1" applyBorder="1"/>
    <xf numFmtId="175" fontId="0" fillId="0" borderId="0" xfId="0" applyNumberFormat="1"/>
    <xf numFmtId="0" fontId="0" fillId="0" borderId="59" xfId="0" applyBorder="1"/>
    <xf numFmtId="0" fontId="58" fillId="0" borderId="0" xfId="0" applyFont="1" applyFill="1" applyBorder="1"/>
    <xf numFmtId="0" fontId="58" fillId="0" borderId="0" xfId="0" applyFont="1" applyBorder="1"/>
    <xf numFmtId="175" fontId="59" fillId="0" borderId="0" xfId="44" applyNumberFormat="1" applyFont="1" applyBorder="1"/>
    <xf numFmtId="175" fontId="60" fillId="0" borderId="0" xfId="44" applyNumberFormat="1" applyFont="1" applyBorder="1"/>
    <xf numFmtId="0" fontId="0" fillId="0" borderId="58" xfId="0" applyBorder="1"/>
    <xf numFmtId="0" fontId="61" fillId="0" borderId="1" xfId="0" applyFont="1" applyFill="1" applyBorder="1" applyAlignment="1">
      <alignment horizontal="center" vertical="center" wrapText="1"/>
    </xf>
    <xf numFmtId="0" fontId="61" fillId="0" borderId="0" xfId="0" applyFont="1" applyFill="1" applyAlignment="1">
      <alignment horizontal="center" vertical="center" wrapText="1"/>
    </xf>
    <xf numFmtId="0" fontId="62" fillId="0" borderId="1" xfId="0" applyFont="1" applyFill="1" applyBorder="1" applyAlignment="1">
      <alignment horizontal="left" vertical="center" wrapText="1"/>
    </xf>
    <xf numFmtId="14" fontId="63" fillId="0" borderId="1" xfId="34" applyNumberFormat="1" applyFont="1" applyBorder="1" applyAlignment="1">
      <alignment vertical="center"/>
    </xf>
    <xf numFmtId="14" fontId="40" fillId="0" borderId="1" xfId="0" applyNumberFormat="1" applyFont="1" applyFill="1" applyBorder="1" applyAlignment="1">
      <alignment horizontal="left" vertical="center" wrapText="1"/>
    </xf>
    <xf numFmtId="1" fontId="40" fillId="0" borderId="1" xfId="0" applyNumberFormat="1" applyFont="1" applyFill="1" applyBorder="1" applyAlignment="1">
      <alignment horizontal="left" vertical="center" wrapText="1"/>
    </xf>
    <xf numFmtId="41" fontId="40" fillId="0" borderId="1" xfId="0" applyNumberFormat="1" applyFont="1" applyFill="1" applyBorder="1" applyAlignment="1">
      <alignment horizontal="left" vertical="center" wrapText="1"/>
    </xf>
    <xf numFmtId="0" fontId="40" fillId="0" borderId="0" xfId="0" applyFont="1" applyFill="1" applyAlignment="1">
      <alignment horizontal="left" vertical="center" wrapText="1"/>
    </xf>
    <xf numFmtId="0" fontId="33" fillId="38" borderId="1" xfId="0" applyFont="1" applyFill="1" applyBorder="1" applyAlignment="1">
      <alignment horizontal="center" vertical="center" wrapText="1"/>
    </xf>
    <xf numFmtId="41" fontId="33" fillId="38" borderId="1" xfId="0" applyNumberFormat="1" applyFont="1" applyFill="1" applyBorder="1" applyAlignment="1">
      <alignment horizontal="center" vertical="center" wrapText="1"/>
    </xf>
    <xf numFmtId="41" fontId="33" fillId="38" borderId="1" xfId="44" applyNumberFormat="1" applyFont="1" applyFill="1" applyBorder="1" applyAlignment="1">
      <alignment horizontal="center" vertical="center" wrapText="1"/>
    </xf>
    <xf numFmtId="172" fontId="34" fillId="38" borderId="1" xfId="44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9" fontId="1" fillId="0" borderId="2" xfId="0" applyNumberFormat="1" applyFont="1" applyFill="1" applyBorder="1" applyAlignment="1">
      <alignment horizontal="center"/>
    </xf>
    <xf numFmtId="169" fontId="1" fillId="0" borderId="4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164" fontId="1" fillId="0" borderId="15" xfId="0" applyNumberFormat="1" applyFont="1" applyFill="1" applyBorder="1" applyAlignment="1">
      <alignment horizontal="center"/>
    </xf>
    <xf numFmtId="164" fontId="1" fillId="0" borderId="13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68" fontId="1" fillId="0" borderId="11" xfId="0" applyNumberFormat="1" applyFont="1" applyFill="1" applyBorder="1" applyAlignment="1">
      <alignment horizontal="center"/>
    </xf>
    <xf numFmtId="168" fontId="1" fillId="0" borderId="1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9" fontId="1" fillId="0" borderId="4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9" fontId="1" fillId="0" borderId="8" xfId="0" applyNumberFormat="1" applyFont="1" applyFill="1" applyBorder="1" applyAlignment="1">
      <alignment horizontal="center"/>
    </xf>
    <xf numFmtId="9" fontId="1" fillId="0" borderId="12" xfId="0" applyNumberFormat="1" applyFont="1" applyFill="1" applyBorder="1" applyAlignment="1">
      <alignment horizontal="center"/>
    </xf>
    <xf numFmtId="9" fontId="1" fillId="0" borderId="6" xfId="0" applyNumberFormat="1" applyFont="1" applyFill="1" applyBorder="1" applyAlignment="1">
      <alignment horizontal="center"/>
    </xf>
    <xf numFmtId="9" fontId="1" fillId="0" borderId="14" xfId="0" applyNumberFormat="1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9" fillId="0" borderId="44" xfId="0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47" fillId="34" borderId="2" xfId="0" applyFont="1" applyFill="1" applyBorder="1" applyAlignment="1">
      <alignment horizontal="center"/>
    </xf>
    <xf numFmtId="0" fontId="47" fillId="34" borderId="3" xfId="0" applyFont="1" applyFill="1" applyBorder="1" applyAlignment="1">
      <alignment horizontal="center"/>
    </xf>
    <xf numFmtId="0" fontId="47" fillId="34" borderId="4" xfId="0" applyFont="1" applyFill="1" applyBorder="1" applyAlignment="1">
      <alignment horizontal="center"/>
    </xf>
    <xf numFmtId="0" fontId="45" fillId="37" borderId="2" xfId="0" applyFont="1" applyFill="1" applyBorder="1" applyAlignment="1">
      <alignment horizontal="center"/>
    </xf>
    <xf numFmtId="0" fontId="45" fillId="37" borderId="3" xfId="0" applyFont="1" applyFill="1" applyBorder="1" applyAlignment="1">
      <alignment horizontal="center"/>
    </xf>
    <xf numFmtId="0" fontId="45" fillId="37" borderId="4" xfId="0" applyFont="1" applyFill="1" applyBorder="1" applyAlignment="1">
      <alignment horizontal="center"/>
    </xf>
    <xf numFmtId="172" fontId="45" fillId="37" borderId="1" xfId="44" applyNumberFormat="1" applyFont="1" applyFill="1" applyBorder="1" applyAlignment="1">
      <alignment horizontal="center"/>
    </xf>
    <xf numFmtId="172" fontId="45" fillId="0" borderId="1" xfId="44" applyNumberFormat="1" applyFont="1" applyBorder="1" applyAlignment="1">
      <alignment horizontal="center"/>
    </xf>
    <xf numFmtId="0" fontId="47" fillId="34" borderId="1" xfId="0" applyFont="1" applyFill="1" applyBorder="1" applyAlignment="1">
      <alignment horizontal="center"/>
    </xf>
    <xf numFmtId="174" fontId="56" fillId="34" borderId="1" xfId="0" applyNumberFormat="1" applyFont="1" applyFill="1" applyBorder="1" applyAlignment="1">
      <alignment horizontal="center"/>
    </xf>
    <xf numFmtId="172" fontId="45" fillId="0" borderId="2" xfId="44" applyNumberFormat="1" applyFont="1" applyBorder="1" applyAlignment="1">
      <alignment horizontal="center"/>
    </xf>
    <xf numFmtId="172" fontId="45" fillId="0" borderId="4" xfId="44" applyNumberFormat="1" applyFont="1" applyBorder="1" applyAlignment="1">
      <alignment horizontal="center"/>
    </xf>
    <xf numFmtId="172" fontId="45" fillId="37" borderId="2" xfId="44" applyNumberFormat="1" applyFont="1" applyFill="1" applyBorder="1" applyAlignment="1">
      <alignment horizontal="center"/>
    </xf>
    <xf numFmtId="172" fontId="45" fillId="37" borderId="4" xfId="44" applyNumberFormat="1" applyFont="1" applyFill="1" applyBorder="1" applyAlignment="1">
      <alignment horizontal="center"/>
    </xf>
    <xf numFmtId="0" fontId="45" fillId="37" borderId="1" xfId="0" applyFont="1" applyFill="1" applyBorder="1" applyAlignment="1">
      <alignment horizontal="center"/>
    </xf>
    <xf numFmtId="172" fontId="45" fillId="37" borderId="3" xfId="44" applyNumberFormat="1" applyFont="1" applyFill="1" applyBorder="1" applyAlignment="1">
      <alignment horizontal="center"/>
    </xf>
    <xf numFmtId="10" fontId="45" fillId="0" borderId="2" xfId="0" applyNumberFormat="1" applyFont="1" applyBorder="1" applyAlignment="1">
      <alignment horizontal="center"/>
    </xf>
    <xf numFmtId="10" fontId="45" fillId="0" borderId="4" xfId="0" applyNumberFormat="1" applyFont="1" applyBorder="1" applyAlignment="1">
      <alignment horizontal="center"/>
    </xf>
    <xf numFmtId="0" fontId="45" fillId="0" borderId="2" xfId="0" applyFont="1" applyBorder="1" applyAlignment="1">
      <alignment horizontal="center"/>
    </xf>
    <xf numFmtId="0" fontId="45" fillId="0" borderId="4" xfId="0" applyFont="1" applyBorder="1" applyAlignment="1">
      <alignment horizontal="center"/>
    </xf>
    <xf numFmtId="0" fontId="0" fillId="0" borderId="4" xfId="0" applyBorder="1"/>
    <xf numFmtId="9" fontId="45" fillId="0" borderId="2" xfId="0" applyNumberFormat="1" applyFont="1" applyBorder="1" applyAlignment="1">
      <alignment horizontal="center"/>
    </xf>
    <xf numFmtId="9" fontId="45" fillId="0" borderId="4" xfId="0" applyNumberFormat="1" applyFont="1" applyBorder="1" applyAlignment="1">
      <alignment horizontal="center"/>
    </xf>
    <xf numFmtId="0" fontId="33" fillId="0" borderId="48" xfId="0" applyFont="1" applyBorder="1" applyAlignment="1">
      <alignment horizontal="left" vertical="center" wrapText="1"/>
    </xf>
    <xf numFmtId="0" fontId="33" fillId="0" borderId="49" xfId="0" applyFont="1" applyBorder="1" applyAlignment="1">
      <alignment horizontal="left" vertical="center" wrapText="1"/>
    </xf>
    <xf numFmtId="0" fontId="42" fillId="0" borderId="0" xfId="0" applyFont="1" applyAlignment="1">
      <alignment horizontal="center" vertical="center"/>
    </xf>
    <xf numFmtId="0" fontId="8" fillId="34" borderId="27" xfId="0" applyFont="1" applyFill="1" applyBorder="1" applyAlignment="1">
      <alignment horizontal="center" vertical="center" wrapText="1"/>
    </xf>
    <xf numFmtId="0" fontId="8" fillId="34" borderId="5" xfId="0" applyFont="1" applyFill="1" applyBorder="1" applyAlignment="1">
      <alignment horizontal="center" vertical="center" wrapText="1"/>
    </xf>
    <xf numFmtId="0" fontId="44" fillId="37" borderId="28" xfId="0" applyFont="1" applyFill="1" applyBorder="1" applyAlignment="1">
      <alignment horizontal="center" vertical="center" wrapText="1"/>
    </xf>
    <xf numFmtId="0" fontId="44" fillId="37" borderId="29" xfId="0" applyFont="1" applyFill="1" applyBorder="1" applyAlignment="1">
      <alignment horizontal="center" vertical="center" wrapText="1"/>
    </xf>
    <xf numFmtId="0" fontId="44" fillId="37" borderId="26" xfId="0" applyFont="1" applyFill="1" applyBorder="1" applyAlignment="1">
      <alignment horizontal="center" vertical="center" wrapText="1"/>
    </xf>
    <xf numFmtId="0" fontId="44" fillId="37" borderId="30" xfId="0" applyFont="1" applyFill="1" applyBorder="1" applyAlignment="1">
      <alignment horizontal="center" vertical="center" wrapText="1"/>
    </xf>
    <xf numFmtId="3" fontId="8" fillId="34" borderId="27" xfId="0" applyNumberFormat="1" applyFont="1" applyFill="1" applyBorder="1" applyAlignment="1">
      <alignment horizontal="center" vertical="center" wrapText="1"/>
    </xf>
    <xf numFmtId="3" fontId="8" fillId="34" borderId="5" xfId="0" applyNumberFormat="1" applyFont="1" applyFill="1" applyBorder="1" applyAlignment="1">
      <alignment horizontal="center" vertical="center" wrapText="1"/>
    </xf>
    <xf numFmtId="0" fontId="6" fillId="34" borderId="8" xfId="0" applyFont="1" applyFill="1" applyBorder="1" applyAlignment="1">
      <alignment horizontal="center" vertical="center" wrapText="1"/>
    </xf>
    <xf numFmtId="0" fontId="6" fillId="34" borderId="12" xfId="0" applyFont="1" applyFill="1" applyBorder="1" applyAlignment="1">
      <alignment horizontal="center" vertical="center" wrapText="1"/>
    </xf>
    <xf numFmtId="41" fontId="50" fillId="35" borderId="1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2" fillId="0" borderId="39" xfId="0" applyFont="1" applyFill="1" applyBorder="1" applyAlignment="1">
      <alignment horizontal="center" vertical="center" wrapText="1"/>
    </xf>
    <xf numFmtId="0" fontId="32" fillId="0" borderId="42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32" fillId="0" borderId="41" xfId="0" applyFont="1" applyFill="1" applyBorder="1" applyAlignment="1">
      <alignment horizontal="center" vertical="center" wrapText="1"/>
    </xf>
    <xf numFmtId="15" fontId="28" fillId="0" borderId="2" xfId="0" applyNumberFormat="1" applyFont="1" applyFill="1" applyBorder="1" applyAlignment="1">
      <alignment horizontal="center" vertical="center" wrapText="1"/>
    </xf>
    <xf numFmtId="15" fontId="28" fillId="0" borderId="3" xfId="0" applyNumberFormat="1" applyFont="1" applyFill="1" applyBorder="1" applyAlignment="1">
      <alignment horizontal="center" vertical="center" wrapText="1"/>
    </xf>
    <xf numFmtId="15" fontId="28" fillId="0" borderId="4" xfId="0" applyNumberFormat="1" applyFont="1" applyFill="1" applyBorder="1" applyAlignment="1">
      <alignment horizontal="center" vertical="center" wrapText="1"/>
    </xf>
    <xf numFmtId="0" fontId="60" fillId="0" borderId="9" xfId="0" applyFont="1" applyBorder="1" applyAlignment="1">
      <alignment horizontal="center"/>
    </xf>
    <xf numFmtId="0" fontId="60" fillId="0" borderId="11" xfId="0" applyFont="1" applyBorder="1" applyAlignment="1">
      <alignment horizontal="center"/>
    </xf>
    <xf numFmtId="0" fontId="60" fillId="0" borderId="10" xfId="0" applyFont="1" applyBorder="1" applyAlignment="1">
      <alignment horizontal="center"/>
    </xf>
    <xf numFmtId="0" fontId="0" fillId="0" borderId="54" xfId="0" applyBorder="1" applyAlignment="1">
      <alignment horizontal="center"/>
    </xf>
    <xf numFmtId="0" fontId="57" fillId="0" borderId="56" xfId="0" applyFont="1" applyBorder="1" applyAlignment="1">
      <alignment horizontal="center"/>
    </xf>
    <xf numFmtId="0" fontId="57" fillId="0" borderId="29" xfId="0" applyFont="1" applyBorder="1" applyAlignment="1">
      <alignment horizontal="center"/>
    </xf>
    <xf numFmtId="0" fontId="57" fillId="0" borderId="57" xfId="0" applyFont="1" applyBorder="1" applyAlignment="1">
      <alignment horizontal="center"/>
    </xf>
    <xf numFmtId="0" fontId="57" fillId="0" borderId="51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0" fontId="57" fillId="0" borderId="59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9" xfId="0" applyBorder="1" applyAlignment="1">
      <alignment horizontal="center"/>
    </xf>
    <xf numFmtId="0" fontId="32" fillId="0" borderId="51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14" fontId="0" fillId="0" borderId="59" xfId="0" applyNumberFormat="1" applyBorder="1" applyAlignment="1">
      <alignment horizontal="center"/>
    </xf>
    <xf numFmtId="0" fontId="0" fillId="0" borderId="0" xfId="0" applyAlignment="1">
      <alignment vertical="top"/>
    </xf>
    <xf numFmtId="0" fontId="0" fillId="32" borderId="51" xfId="0" applyFill="1" applyBorder="1" applyAlignment="1">
      <alignment vertical="top"/>
    </xf>
    <xf numFmtId="0" fontId="0" fillId="32" borderId="0" xfId="0" applyFill="1" applyBorder="1" applyAlignment="1">
      <alignment vertical="top"/>
    </xf>
    <xf numFmtId="0" fontId="0" fillId="32" borderId="59" xfId="0" applyFill="1" applyBorder="1" applyAlignment="1">
      <alignment vertical="top"/>
    </xf>
    <xf numFmtId="0" fontId="0" fillId="32" borderId="53" xfId="0" applyFill="1" applyBorder="1" applyAlignment="1">
      <alignment vertical="top"/>
    </xf>
    <xf numFmtId="0" fontId="0" fillId="32" borderId="48" xfId="0" applyFill="1" applyBorder="1" applyAlignment="1">
      <alignment vertical="top"/>
    </xf>
    <xf numFmtId="0" fontId="0" fillId="32" borderId="58" xfId="0" applyFill="1" applyBorder="1" applyAlignment="1">
      <alignment vertical="top"/>
    </xf>
    <xf numFmtId="0" fontId="0" fillId="32" borderId="51" xfId="0" applyFill="1" applyBorder="1" applyAlignment="1">
      <alignment horizontal="left" vertical="top"/>
    </xf>
    <xf numFmtId="0" fontId="0" fillId="32" borderId="0" xfId="0" applyFill="1" applyBorder="1" applyAlignment="1">
      <alignment horizontal="left" vertical="top"/>
    </xf>
    <xf numFmtId="0" fontId="0" fillId="32" borderId="59" xfId="0" applyFill="1" applyBorder="1" applyAlignment="1">
      <alignment horizontal="left" vertical="top"/>
    </xf>
    <xf numFmtId="14" fontId="0" fillId="32" borderId="51" xfId="0" applyNumberFormat="1" applyFill="1" applyBorder="1" applyAlignment="1">
      <alignment vertical="top"/>
    </xf>
    <xf numFmtId="0" fontId="0" fillId="32" borderId="56" xfId="0" applyFill="1" applyBorder="1"/>
    <xf numFmtId="0" fontId="0" fillId="32" borderId="29" xfId="0" applyFill="1" applyBorder="1"/>
    <xf numFmtId="0" fontId="0" fillId="32" borderId="57" xfId="0" applyFill="1" applyBorder="1"/>
  </cellXfs>
  <cellStyles count="45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Incorrecto 2" xfId="31"/>
    <cellStyle name="Moneda" xfId="44" builtinId="4"/>
    <cellStyle name="Moneda 2" xfId="32"/>
    <cellStyle name="Neutral 2" xfId="33"/>
    <cellStyle name="Normal" xfId="0" builtinId="0"/>
    <cellStyle name="Normal 2" xfId="34"/>
    <cellStyle name="Notas 2" xfId="35"/>
    <cellStyle name="Salida 2" xfId="36"/>
    <cellStyle name="Texto de advertencia 2" xfId="37"/>
    <cellStyle name="Texto explicativo 2" xfId="38"/>
    <cellStyle name="Título 1 2" xfId="40"/>
    <cellStyle name="Título 2 2" xfId="41"/>
    <cellStyle name="Título 3 2" xfId="42"/>
    <cellStyle name="Título 4" xfId="39"/>
    <cellStyle name="Total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'A.S. MÍNIMOS CUADRADOS'!$F$4</c:f>
              <c:strCache>
                <c:ptCount val="1"/>
                <c:pt idx="0">
                  <c:v>CARGOS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'A.S. MÍNIMOS CUADRADOS'!$F$5:$F$12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val>
        </c:ser>
        <c:ser>
          <c:idx val="1"/>
          <c:order val="1"/>
          <c:tx>
            <c:strRef>
              <c:f>'A.S. MÍNIMOS CUADRADOS'!$G$4</c:f>
              <c:strCache>
                <c:ptCount val="1"/>
                <c:pt idx="0">
                  <c:v>INGRESO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'A.S. MÍNIMOS CUADRADOS'!$G$5:$G$12</c:f>
              <c:numCache>
                <c:formatCode>_(* #,##0_);_(* \(#,##0\);_(* "-"_);_(@_)</c:formatCode>
                <c:ptCount val="8"/>
                <c:pt idx="0">
                  <c:v>644350</c:v>
                </c:pt>
                <c:pt idx="1">
                  <c:v>721672.00000000012</c:v>
                </c:pt>
                <c:pt idx="2">
                  <c:v>808272.64000000025</c:v>
                </c:pt>
                <c:pt idx="3">
                  <c:v>905265.35680000042</c:v>
                </c:pt>
                <c:pt idx="4">
                  <c:v>1013897.1996160005</c:v>
                </c:pt>
                <c:pt idx="5">
                  <c:v>1135564.8635699206</c:v>
                </c:pt>
                <c:pt idx="6">
                  <c:v>1214477.9400140808</c:v>
                </c:pt>
                <c:pt idx="7">
                  <c:v>1312470.586685441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68670208"/>
        <c:axId val="68671744"/>
        <c:axId val="0"/>
      </c:bar3DChart>
      <c:catAx>
        <c:axId val="68670208"/>
        <c:scaling>
          <c:orientation val="minMax"/>
        </c:scaling>
        <c:delete val="0"/>
        <c:axPos val="b"/>
        <c:majorTickMark val="none"/>
        <c:minorTickMark val="none"/>
        <c:tickLblPos val="nextTo"/>
        <c:crossAx val="68671744"/>
        <c:crosses val="autoZero"/>
        <c:auto val="1"/>
        <c:lblAlgn val="ctr"/>
        <c:lblOffset val="100"/>
        <c:noMultiLvlLbl val="0"/>
      </c:catAx>
      <c:valAx>
        <c:axId val="68671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686702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gradFill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lin ang="5400000" scaled="0"/>
    </a:gra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323849</xdr:colOff>
      <xdr:row>1</xdr:row>
      <xdr:rowOff>61911</xdr:rowOff>
    </xdr:from>
    <xdr:to>
      <xdr:col>14</xdr:col>
      <xdr:colOff>447675</xdr:colOff>
      <xdr:row>27</xdr:row>
      <xdr:rowOff>66675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workbookViewId="0">
      <selection activeCell="A17" sqref="A17:Z31"/>
    </sheetView>
  </sheetViews>
  <sheetFormatPr baseColWidth="10" defaultRowHeight="15" x14ac:dyDescent="0.25"/>
  <cols>
    <col min="1" max="1" width="10.28515625" style="1" customWidth="1"/>
    <col min="2" max="2" width="7.7109375" customWidth="1"/>
    <col min="3" max="3" width="6.5703125" customWidth="1"/>
    <col min="4" max="5" width="7.42578125" customWidth="1"/>
    <col min="6" max="6" width="8" customWidth="1"/>
    <col min="7" max="7" width="7.85546875" customWidth="1"/>
    <col min="8" max="8" width="5" customWidth="1"/>
    <col min="9" max="9" width="7.7109375" customWidth="1"/>
    <col min="10" max="10" width="4" customWidth="1"/>
    <col min="11" max="11" width="7.7109375" customWidth="1"/>
    <col min="12" max="12" width="4.140625" bestFit="1" customWidth="1"/>
    <col min="13" max="13" width="8.7109375" bestFit="1" customWidth="1"/>
    <col min="14" max="14" width="4.28515625" customWidth="1"/>
    <col min="15" max="15" width="8.28515625" customWidth="1"/>
    <col min="16" max="16" width="5.28515625" customWidth="1"/>
    <col min="17" max="17" width="8.140625" customWidth="1"/>
    <col min="18" max="18" width="9.28515625" customWidth="1"/>
    <col min="19" max="19" width="6.140625" bestFit="1" customWidth="1"/>
    <col min="20" max="20" width="6.140625" customWidth="1"/>
    <col min="21" max="21" width="5.7109375" customWidth="1"/>
    <col min="22" max="22" width="8.140625" customWidth="1"/>
    <col min="23" max="23" width="9.5703125" customWidth="1"/>
    <col min="24" max="24" width="8.5703125" customWidth="1"/>
  </cols>
  <sheetData>
    <row r="1" spans="1:24" ht="28.5" x14ac:dyDescent="0.25">
      <c r="A1" s="2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</row>
    <row r="2" spans="1:24" ht="21" x14ac:dyDescent="0.25">
      <c r="A2" s="2"/>
      <c r="B2" s="234" t="s">
        <v>41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</row>
    <row r="3" spans="1:24" ht="18.75" x14ac:dyDescent="0.3">
      <c r="A3" s="2"/>
      <c r="B3" s="235" t="s">
        <v>42</v>
      </c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7"/>
    </row>
    <row r="4" spans="1:24" ht="18.75" x14ac:dyDescent="0.3">
      <c r="A4" s="2"/>
      <c r="B4" s="3"/>
      <c r="C4" s="3"/>
      <c r="D4" s="3"/>
      <c r="E4" s="3"/>
      <c r="F4" s="238" t="s">
        <v>0</v>
      </c>
      <c r="G4" s="239"/>
      <c r="H4" s="239"/>
      <c r="I4" s="239"/>
      <c r="J4" s="239"/>
      <c r="K4" s="239"/>
      <c r="L4" s="239"/>
      <c r="M4" s="239"/>
      <c r="N4" s="239"/>
      <c r="O4" s="240"/>
      <c r="P4" s="4"/>
      <c r="Q4" s="4"/>
      <c r="R4" s="3"/>
      <c r="S4" s="238" t="s">
        <v>1</v>
      </c>
      <c r="T4" s="239"/>
      <c r="U4" s="239"/>
      <c r="V4" s="239"/>
      <c r="W4" s="3"/>
      <c r="X4" s="3"/>
    </row>
    <row r="5" spans="1:24" ht="38.25" x14ac:dyDescent="0.25">
      <c r="A5" s="2"/>
      <c r="B5" s="5" t="s">
        <v>2</v>
      </c>
      <c r="C5" s="6" t="s">
        <v>3</v>
      </c>
      <c r="D5" s="6" t="s">
        <v>4</v>
      </c>
      <c r="E5" s="7" t="s">
        <v>5</v>
      </c>
      <c r="F5" s="6" t="s">
        <v>6</v>
      </c>
      <c r="G5" s="7" t="s">
        <v>7</v>
      </c>
      <c r="H5" s="6" t="s">
        <v>8</v>
      </c>
      <c r="I5" s="6" t="s">
        <v>9</v>
      </c>
      <c r="J5" s="6" t="s">
        <v>10</v>
      </c>
      <c r="K5" s="6" t="s">
        <v>11</v>
      </c>
      <c r="L5" s="6" t="s">
        <v>12</v>
      </c>
      <c r="M5" s="6" t="s">
        <v>13</v>
      </c>
      <c r="N5" s="7" t="s">
        <v>14</v>
      </c>
      <c r="O5" s="6" t="s">
        <v>15</v>
      </c>
      <c r="P5" s="6" t="s">
        <v>40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  <c r="V5" s="5" t="s">
        <v>20</v>
      </c>
      <c r="W5" s="7" t="s">
        <v>21</v>
      </c>
      <c r="X5" s="6" t="s">
        <v>22</v>
      </c>
    </row>
    <row r="6" spans="1:24" x14ac:dyDescent="0.25">
      <c r="A6" s="2"/>
      <c r="B6" s="8"/>
      <c r="C6" s="9"/>
      <c r="D6" s="10"/>
      <c r="E6" s="11"/>
      <c r="F6" s="10"/>
      <c r="G6" s="12"/>
      <c r="H6" s="13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x14ac:dyDescent="0.25">
      <c r="A7" s="2"/>
      <c r="B7" s="8"/>
      <c r="C7" s="9"/>
      <c r="D7" s="10"/>
      <c r="E7" s="11"/>
      <c r="F7" s="10"/>
      <c r="G7" s="12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x14ac:dyDescent="0.25">
      <c r="A8" s="2"/>
      <c r="B8" s="8"/>
      <c r="C8" s="9"/>
      <c r="D8" s="10"/>
      <c r="E8" s="11"/>
      <c r="F8" s="10"/>
      <c r="G8" s="12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x14ac:dyDescent="0.25">
      <c r="A9" s="2"/>
      <c r="B9" s="8"/>
      <c r="C9" s="9"/>
      <c r="D9" s="10"/>
      <c r="E9" s="11"/>
      <c r="F9" s="10"/>
      <c r="G9" s="12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x14ac:dyDescent="0.25">
      <c r="A10" s="2"/>
      <c r="B10" s="8"/>
      <c r="C10" s="9"/>
      <c r="D10" s="10"/>
      <c r="E10" s="11"/>
      <c r="F10" s="10"/>
      <c r="G10" s="12"/>
      <c r="H10" s="13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x14ac:dyDescent="0.25">
      <c r="A11" s="2"/>
      <c r="B11" s="8"/>
      <c r="C11" s="9"/>
      <c r="D11" s="14"/>
      <c r="E11" s="11"/>
      <c r="F11" s="10"/>
      <c r="G11" s="12"/>
      <c r="H11" s="14"/>
      <c r="I11" s="10"/>
      <c r="J11" s="14"/>
      <c r="K11" s="10"/>
      <c r="L11" s="14"/>
      <c r="M11" s="10"/>
      <c r="N11" s="14"/>
      <c r="O11" s="10"/>
      <c r="P11" s="10"/>
      <c r="Q11" s="10"/>
      <c r="R11" s="10"/>
      <c r="S11" s="10"/>
      <c r="T11" s="10"/>
      <c r="U11" s="10"/>
      <c r="V11" s="14"/>
      <c r="W11" s="10"/>
      <c r="X11" s="10"/>
    </row>
    <row r="12" spans="1:24" x14ac:dyDescent="0.25">
      <c r="A12" s="2"/>
      <c r="B12" s="15"/>
      <c r="C12" s="16"/>
      <c r="D12" s="17"/>
      <c r="E12" s="11"/>
      <c r="F12" s="10"/>
      <c r="G12" s="12"/>
      <c r="H12" s="17"/>
      <c r="I12" s="10"/>
      <c r="J12" s="17"/>
      <c r="K12" s="10"/>
      <c r="L12" s="17"/>
      <c r="M12" s="10"/>
      <c r="N12" s="17"/>
      <c r="O12" s="10"/>
      <c r="P12" s="10"/>
      <c r="Q12" s="10"/>
      <c r="R12" s="10"/>
      <c r="S12" s="10"/>
      <c r="T12" s="10"/>
      <c r="U12" s="10"/>
      <c r="V12" s="17"/>
      <c r="W12" s="10"/>
      <c r="X12" s="10"/>
    </row>
    <row r="13" spans="1:24" x14ac:dyDescent="0.25">
      <c r="A13" s="2"/>
      <c r="B13" s="18"/>
      <c r="C13" s="19"/>
      <c r="D13" s="20"/>
      <c r="E13" s="11"/>
      <c r="F13" s="10"/>
      <c r="G13" s="12"/>
      <c r="H13" s="20"/>
      <c r="I13" s="10"/>
      <c r="J13" s="20"/>
      <c r="K13" s="10"/>
      <c r="L13" s="20"/>
      <c r="M13" s="10"/>
      <c r="N13" s="20"/>
      <c r="O13" s="10"/>
      <c r="P13" s="21"/>
      <c r="Q13" s="21"/>
      <c r="R13" s="10"/>
      <c r="S13" s="10"/>
      <c r="T13" s="10"/>
      <c r="U13" s="10"/>
      <c r="V13" s="20"/>
      <c r="W13" s="10"/>
      <c r="X13" s="10"/>
    </row>
    <row r="14" spans="1:24" x14ac:dyDescent="0.25">
      <c r="A14" s="2"/>
      <c r="B14" s="18"/>
      <c r="C14" s="19"/>
      <c r="D14" s="20"/>
      <c r="E14" s="11"/>
      <c r="F14" s="10"/>
      <c r="G14" s="12"/>
      <c r="H14" s="20"/>
      <c r="I14" s="10"/>
      <c r="J14" s="20"/>
      <c r="K14" s="10"/>
      <c r="L14" s="20"/>
      <c r="M14" s="10"/>
      <c r="N14" s="20"/>
      <c r="O14" s="10"/>
      <c r="P14" s="21"/>
      <c r="Q14" s="21"/>
      <c r="R14" s="10"/>
      <c r="S14" s="10"/>
      <c r="T14" s="10"/>
      <c r="U14" s="10"/>
      <c r="V14" s="20"/>
      <c r="W14" s="10"/>
      <c r="X14" s="10"/>
    </row>
    <row r="15" spans="1:24" ht="18.75" x14ac:dyDescent="0.3">
      <c r="A15" s="2"/>
      <c r="B15" s="22" t="s">
        <v>23</v>
      </c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1:24" ht="15.75" x14ac:dyDescent="0.25">
      <c r="A16" s="2"/>
      <c r="B16" s="24"/>
      <c r="C16" s="24"/>
      <c r="D16" s="24"/>
      <c r="E16" s="25"/>
      <c r="F16" s="25"/>
      <c r="G16" s="26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</row>
    <row r="17" spans="1:24" x14ac:dyDescent="0.25">
      <c r="A17" s="2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"/>
      <c r="X17" s="2"/>
    </row>
    <row r="18" spans="1:24" ht="18.75" customHeight="1" thickBot="1" x14ac:dyDescent="0.35">
      <c r="A18" s="2"/>
      <c r="B18" s="27" t="s">
        <v>24</v>
      </c>
      <c r="C18" s="27"/>
      <c r="D18" s="24"/>
      <c r="E18" s="24"/>
      <c r="F18" s="24"/>
      <c r="G18" s="219" t="s">
        <v>25</v>
      </c>
      <c r="H18" s="220"/>
      <c r="I18" s="220"/>
      <c r="J18" s="220"/>
      <c r="K18" s="24"/>
      <c r="L18" s="243" t="s">
        <v>26</v>
      </c>
      <c r="M18" s="244"/>
      <c r="N18" s="244"/>
      <c r="O18" s="244"/>
      <c r="P18" s="244"/>
      <c r="Q18" s="2"/>
      <c r="R18" s="28" t="s">
        <v>27</v>
      </c>
      <c r="S18" s="28"/>
      <c r="T18" s="28"/>
      <c r="U18" s="29"/>
      <c r="V18" s="30"/>
      <c r="W18" s="2"/>
      <c r="X18" s="2"/>
    </row>
    <row r="19" spans="1:24" ht="15.75" thickBot="1" x14ac:dyDescent="0.3">
      <c r="A19" s="2"/>
      <c r="B19" s="31"/>
      <c r="C19" s="31"/>
      <c r="D19" s="32"/>
      <c r="E19" s="33"/>
      <c r="F19" s="24"/>
      <c r="G19" s="28" t="s">
        <v>28</v>
      </c>
      <c r="H19" s="34">
        <v>8.5000000000000006E-2</v>
      </c>
      <c r="I19" s="221"/>
      <c r="J19" s="222"/>
      <c r="K19" s="24"/>
      <c r="L19" s="35" t="s">
        <v>29</v>
      </c>
      <c r="M19" s="36"/>
      <c r="N19" s="36">
        <v>0.04</v>
      </c>
      <c r="O19" s="241"/>
      <c r="P19" s="242"/>
      <c r="Q19" s="2"/>
      <c r="R19" s="227" t="s">
        <v>30</v>
      </c>
      <c r="S19" s="228"/>
      <c r="T19" s="37">
        <v>8.3299999999999999E-2</v>
      </c>
      <c r="U19" s="38"/>
      <c r="V19" s="30"/>
      <c r="W19" s="2"/>
      <c r="X19" s="2"/>
    </row>
    <row r="20" spans="1:24" x14ac:dyDescent="0.25">
      <c r="A20" s="2"/>
      <c r="B20" s="24"/>
      <c r="C20" s="24"/>
      <c r="D20" s="24"/>
      <c r="E20" s="24"/>
      <c r="F20" s="24"/>
      <c r="G20" s="28" t="s">
        <v>31</v>
      </c>
      <c r="H20" s="39">
        <v>0.12</v>
      </c>
      <c r="I20" s="223"/>
      <c r="J20" s="224"/>
      <c r="K20" s="24"/>
      <c r="L20" s="35" t="s">
        <v>32</v>
      </c>
      <c r="M20" s="36"/>
      <c r="N20" s="40">
        <v>0.03</v>
      </c>
      <c r="O20" s="245"/>
      <c r="P20" s="246"/>
      <c r="Q20" s="2"/>
      <c r="R20" s="227" t="s">
        <v>33</v>
      </c>
      <c r="S20" s="228"/>
      <c r="T20" s="41">
        <v>0.01</v>
      </c>
      <c r="U20" s="38"/>
      <c r="V20" s="30"/>
      <c r="W20" s="2"/>
      <c r="X20" s="2"/>
    </row>
    <row r="21" spans="1:24" ht="15.75" thickBot="1" x14ac:dyDescent="0.3">
      <c r="A21" s="2"/>
      <c r="B21" s="24" t="s">
        <v>34</v>
      </c>
      <c r="C21" s="24"/>
      <c r="D21" s="24"/>
      <c r="E21" s="24"/>
      <c r="F21" s="24"/>
      <c r="G21" s="28" t="s">
        <v>35</v>
      </c>
      <c r="H21" s="42"/>
      <c r="I21" s="223"/>
      <c r="J21" s="224"/>
      <c r="K21" s="24"/>
      <c r="L21" s="35" t="s">
        <v>36</v>
      </c>
      <c r="M21" s="36"/>
      <c r="N21" s="43">
        <v>0.02</v>
      </c>
      <c r="O21" s="247"/>
      <c r="P21" s="248"/>
      <c r="Q21" s="2"/>
      <c r="R21" s="227" t="s">
        <v>37</v>
      </c>
      <c r="S21" s="228"/>
      <c r="T21" s="37">
        <v>8.3299999999999999E-2</v>
      </c>
      <c r="U21" s="38"/>
      <c r="V21" s="30"/>
      <c r="W21" s="2"/>
      <c r="X21" s="2"/>
    </row>
    <row r="22" spans="1:24" ht="15.75" thickBot="1" x14ac:dyDescent="0.3">
      <c r="A22" s="2"/>
      <c r="B22" s="31"/>
      <c r="C22" s="31"/>
      <c r="D22" s="32"/>
      <c r="E22" s="33"/>
      <c r="F22" s="24"/>
      <c r="G22" s="227" t="s">
        <v>23</v>
      </c>
      <c r="H22" s="228"/>
      <c r="I22" s="225"/>
      <c r="J22" s="226"/>
      <c r="K22" s="24"/>
      <c r="L22" s="44" t="s">
        <v>23</v>
      </c>
      <c r="M22" s="45"/>
      <c r="N22" s="46"/>
      <c r="O22" s="249"/>
      <c r="P22" s="250"/>
      <c r="Q22" s="2"/>
      <c r="R22" s="227" t="s">
        <v>38</v>
      </c>
      <c r="S22" s="228"/>
      <c r="T22" s="47">
        <v>4.1700000000000001E-2</v>
      </c>
      <c r="U22" s="48"/>
      <c r="V22" s="30"/>
      <c r="W22" s="2"/>
      <c r="X22" s="2"/>
    </row>
    <row r="23" spans="1:24" x14ac:dyDescent="0.25">
      <c r="A23" s="2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29" t="s">
        <v>23</v>
      </c>
      <c r="S23" s="230"/>
      <c r="T23" s="49"/>
      <c r="U23" s="49"/>
      <c r="V23" s="50"/>
      <c r="W23" s="2"/>
      <c r="X23" s="2"/>
    </row>
    <row r="24" spans="1:24" ht="15.75" thickBot="1" x14ac:dyDescent="0.3">
      <c r="A24" s="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"/>
      <c r="X24" s="2"/>
    </row>
    <row r="25" spans="1:24" ht="15.75" thickBot="1" x14ac:dyDescent="0.3">
      <c r="A25" s="2"/>
      <c r="B25" s="24"/>
      <c r="C25" s="24"/>
      <c r="D25" s="24"/>
      <c r="E25" s="24"/>
      <c r="F25" s="24"/>
      <c r="G25" s="24"/>
      <c r="H25" s="24"/>
      <c r="I25" s="24" t="s">
        <v>39</v>
      </c>
      <c r="J25" s="24"/>
      <c r="K25" s="24"/>
      <c r="L25" s="31"/>
      <c r="M25" s="31"/>
      <c r="N25" s="51"/>
      <c r="O25" s="231"/>
      <c r="P25" s="232"/>
      <c r="Q25" s="52"/>
      <c r="R25" s="24"/>
      <c r="S25" s="24"/>
      <c r="T25" s="24"/>
      <c r="U25" s="24"/>
      <c r="V25" s="24"/>
      <c r="W25" s="2"/>
      <c r="X25" s="2"/>
    </row>
    <row r="26" spans="1:2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</sheetData>
  <mergeCells count="22">
    <mergeCell ref="R23:S23"/>
    <mergeCell ref="O25:P25"/>
    <mergeCell ref="B1:X1"/>
    <mergeCell ref="B2:X2"/>
    <mergeCell ref="B3:X3"/>
    <mergeCell ref="F4:O4"/>
    <mergeCell ref="S4:V4"/>
    <mergeCell ref="R22:S22"/>
    <mergeCell ref="O19:P19"/>
    <mergeCell ref="L18:P18"/>
    <mergeCell ref="O20:P20"/>
    <mergeCell ref="O21:P21"/>
    <mergeCell ref="O22:P22"/>
    <mergeCell ref="R19:S19"/>
    <mergeCell ref="R20:S20"/>
    <mergeCell ref="R21:S21"/>
    <mergeCell ref="G18:J18"/>
    <mergeCell ref="I19:J19"/>
    <mergeCell ref="I20:J20"/>
    <mergeCell ref="I21:J21"/>
    <mergeCell ref="I22:J22"/>
    <mergeCell ref="G22:H22"/>
  </mergeCells>
  <pageMargins left="0.23622047244094491" right="0.23622047244094491" top="0.74803149606299213" bottom="0.74803149606299213" header="0.31496062992125984" footer="0.31496062992125984"/>
  <pageSetup paperSize="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N4" sqref="N4"/>
    </sheetView>
  </sheetViews>
  <sheetFormatPr baseColWidth="10" defaultRowHeight="39.950000000000003" customHeight="1" x14ac:dyDescent="0.25"/>
  <cols>
    <col min="1" max="1" width="12.42578125" style="114" customWidth="1"/>
    <col min="2" max="2" width="11.42578125" style="71"/>
    <col min="3" max="3" width="13.42578125" style="71" customWidth="1"/>
    <col min="4" max="16384" width="11.42578125" style="71"/>
  </cols>
  <sheetData>
    <row r="1" spans="1:17" ht="39.950000000000003" customHeight="1" x14ac:dyDescent="0.25">
      <c r="A1" s="251" t="s">
        <v>179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7" ht="39.950000000000003" customHeight="1" x14ac:dyDescent="0.25">
      <c r="A2" s="113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7" s="112" customFormat="1" ht="39.950000000000003" customHeight="1" x14ac:dyDescent="0.25">
      <c r="A3" s="110"/>
      <c r="B3" s="111" t="s">
        <v>70</v>
      </c>
      <c r="C3" s="111" t="s">
        <v>163</v>
      </c>
      <c r="D3" s="111" t="s">
        <v>69</v>
      </c>
      <c r="E3" s="111" t="s">
        <v>72</v>
      </c>
      <c r="F3" s="111" t="s">
        <v>65</v>
      </c>
      <c r="G3" s="111" t="s">
        <v>66</v>
      </c>
      <c r="H3" s="111" t="s">
        <v>68</v>
      </c>
      <c r="I3" s="111" t="s">
        <v>71</v>
      </c>
      <c r="J3" s="111" t="s">
        <v>67</v>
      </c>
      <c r="K3" s="111" t="s">
        <v>73</v>
      </c>
      <c r="L3" s="111" t="s">
        <v>75</v>
      </c>
      <c r="M3" s="111" t="s">
        <v>76</v>
      </c>
    </row>
    <row r="4" spans="1:17" ht="39.950000000000003" customHeight="1" x14ac:dyDescent="0.25">
      <c r="A4" s="111" t="s">
        <v>70</v>
      </c>
      <c r="B4" s="72" t="s">
        <v>159</v>
      </c>
      <c r="C4" s="72">
        <v>1</v>
      </c>
      <c r="D4" s="72">
        <v>1</v>
      </c>
      <c r="E4" s="72">
        <v>1</v>
      </c>
      <c r="F4" s="72">
        <v>1</v>
      </c>
      <c r="G4" s="72">
        <v>1</v>
      </c>
      <c r="H4" s="72">
        <v>1</v>
      </c>
      <c r="I4" s="72">
        <v>1</v>
      </c>
      <c r="J4" s="72">
        <v>1</v>
      </c>
      <c r="K4" s="72">
        <v>1</v>
      </c>
      <c r="L4" s="72">
        <v>1</v>
      </c>
      <c r="M4" s="72">
        <v>1</v>
      </c>
      <c r="N4" s="71">
        <f>SUM(B4:M4)</f>
        <v>11</v>
      </c>
      <c r="Q4" s="71" t="s">
        <v>162</v>
      </c>
    </row>
    <row r="5" spans="1:17" ht="58.5" customHeight="1" x14ac:dyDescent="0.25">
      <c r="A5" s="111" t="s">
        <v>163</v>
      </c>
      <c r="B5" s="72">
        <v>0</v>
      </c>
      <c r="C5" s="72" t="s">
        <v>159</v>
      </c>
      <c r="D5" s="72">
        <v>1</v>
      </c>
      <c r="E5" s="72">
        <v>1</v>
      </c>
      <c r="F5" s="72">
        <v>1</v>
      </c>
      <c r="G5" s="72">
        <v>1</v>
      </c>
      <c r="H5" s="72">
        <v>1</v>
      </c>
      <c r="I5" s="72">
        <v>1</v>
      </c>
      <c r="J5" s="72">
        <v>1</v>
      </c>
      <c r="K5" s="72">
        <v>1</v>
      </c>
      <c r="L5" s="72">
        <v>1</v>
      </c>
      <c r="M5" s="72">
        <v>1</v>
      </c>
      <c r="N5" s="71">
        <f>SUM(B5:M5)</f>
        <v>10</v>
      </c>
    </row>
    <row r="6" spans="1:17" ht="39.950000000000003" customHeight="1" x14ac:dyDescent="0.25">
      <c r="A6" s="111" t="s">
        <v>69</v>
      </c>
      <c r="B6" s="72">
        <v>0</v>
      </c>
      <c r="C6" s="72">
        <v>0</v>
      </c>
      <c r="D6" s="72" t="s">
        <v>159</v>
      </c>
      <c r="E6" s="72">
        <v>1</v>
      </c>
      <c r="F6" s="72">
        <v>1</v>
      </c>
      <c r="G6" s="72">
        <v>1</v>
      </c>
      <c r="H6" s="72">
        <v>1</v>
      </c>
      <c r="I6" s="72">
        <v>1</v>
      </c>
      <c r="J6" s="72">
        <v>1</v>
      </c>
      <c r="K6" s="72">
        <v>1</v>
      </c>
      <c r="L6" s="72">
        <v>1</v>
      </c>
      <c r="M6" s="72">
        <v>1</v>
      </c>
      <c r="N6" s="71">
        <f t="shared" ref="N6:N15" si="0">SUM(B6:M6)</f>
        <v>9</v>
      </c>
    </row>
    <row r="7" spans="1:17" ht="39.950000000000003" customHeight="1" x14ac:dyDescent="0.25">
      <c r="A7" s="111" t="s">
        <v>72</v>
      </c>
      <c r="B7" s="72">
        <v>0</v>
      </c>
      <c r="C7" s="72">
        <v>0</v>
      </c>
      <c r="D7" s="72">
        <v>0</v>
      </c>
      <c r="E7" s="72" t="s">
        <v>159</v>
      </c>
      <c r="F7" s="72">
        <v>1</v>
      </c>
      <c r="G7" s="72">
        <v>1</v>
      </c>
      <c r="H7" s="72">
        <v>1</v>
      </c>
      <c r="I7" s="72">
        <v>1</v>
      </c>
      <c r="J7" s="72">
        <v>1</v>
      </c>
      <c r="K7" s="72">
        <v>1</v>
      </c>
      <c r="L7" s="72">
        <v>1</v>
      </c>
      <c r="M7" s="72">
        <v>1</v>
      </c>
      <c r="N7" s="71">
        <f>SUM(B7:M7)</f>
        <v>8</v>
      </c>
    </row>
    <row r="8" spans="1:17" ht="39.950000000000003" customHeight="1" x14ac:dyDescent="0.25">
      <c r="A8" s="111" t="s">
        <v>65</v>
      </c>
      <c r="B8" s="72">
        <v>0</v>
      </c>
      <c r="C8" s="72">
        <v>0</v>
      </c>
      <c r="D8" s="72">
        <v>0</v>
      </c>
      <c r="E8" s="72">
        <v>0</v>
      </c>
      <c r="F8" s="72" t="s">
        <v>159</v>
      </c>
      <c r="G8" s="72">
        <v>1</v>
      </c>
      <c r="H8" s="72">
        <v>1</v>
      </c>
      <c r="I8" s="72">
        <v>1</v>
      </c>
      <c r="J8" s="72">
        <v>1</v>
      </c>
      <c r="K8" s="72">
        <v>1</v>
      </c>
      <c r="L8" s="72">
        <v>1</v>
      </c>
      <c r="M8" s="72">
        <v>1</v>
      </c>
      <c r="N8" s="71">
        <f t="shared" si="0"/>
        <v>7</v>
      </c>
    </row>
    <row r="9" spans="1:17" ht="39.950000000000003" customHeight="1" x14ac:dyDescent="0.25">
      <c r="A9" s="111" t="s">
        <v>66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  <c r="G9" s="72" t="s">
        <v>159</v>
      </c>
      <c r="H9" s="72">
        <v>1</v>
      </c>
      <c r="I9" s="72">
        <v>1</v>
      </c>
      <c r="J9" s="72">
        <v>1</v>
      </c>
      <c r="K9" s="72">
        <v>1</v>
      </c>
      <c r="L9" s="72">
        <v>1</v>
      </c>
      <c r="M9" s="72">
        <v>1</v>
      </c>
      <c r="N9" s="71">
        <f>SUM(B9:M9)</f>
        <v>6</v>
      </c>
    </row>
    <row r="10" spans="1:17" ht="39.950000000000003" customHeight="1" x14ac:dyDescent="0.25">
      <c r="A10" s="111" t="s">
        <v>68</v>
      </c>
      <c r="B10" s="72">
        <v>0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 t="s">
        <v>159</v>
      </c>
      <c r="I10" s="72" t="s">
        <v>159</v>
      </c>
      <c r="J10" s="72">
        <v>1</v>
      </c>
      <c r="K10" s="72">
        <v>1</v>
      </c>
      <c r="L10" s="72">
        <v>1</v>
      </c>
      <c r="M10" s="72">
        <v>1</v>
      </c>
      <c r="N10" s="71">
        <f t="shared" si="0"/>
        <v>4</v>
      </c>
    </row>
    <row r="11" spans="1:17" ht="39.950000000000003" customHeight="1" x14ac:dyDescent="0.25">
      <c r="A11" s="111" t="s">
        <v>71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 t="s">
        <v>159</v>
      </c>
      <c r="I11" s="72" t="s">
        <v>159</v>
      </c>
      <c r="J11" s="72">
        <v>1</v>
      </c>
      <c r="K11" s="72">
        <v>1</v>
      </c>
      <c r="L11" s="72">
        <v>1</v>
      </c>
      <c r="M11" s="72">
        <v>1</v>
      </c>
      <c r="N11" s="71">
        <f t="shared" si="0"/>
        <v>4</v>
      </c>
    </row>
    <row r="12" spans="1:17" ht="39.950000000000003" customHeight="1" x14ac:dyDescent="0.25">
      <c r="A12" s="111" t="s">
        <v>67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 t="s">
        <v>159</v>
      </c>
      <c r="K12" s="72" t="s">
        <v>159</v>
      </c>
      <c r="L12" s="72" t="s">
        <v>159</v>
      </c>
      <c r="M12" s="72" t="s">
        <v>159</v>
      </c>
      <c r="N12" s="71">
        <f t="shared" si="0"/>
        <v>0</v>
      </c>
    </row>
    <row r="13" spans="1:17" ht="39.950000000000003" customHeight="1" x14ac:dyDescent="0.25">
      <c r="A13" s="111" t="s">
        <v>73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 t="s">
        <v>159</v>
      </c>
      <c r="K13" s="72" t="s">
        <v>159</v>
      </c>
      <c r="L13" s="72" t="s">
        <v>159</v>
      </c>
      <c r="M13" s="72" t="s">
        <v>159</v>
      </c>
      <c r="N13" s="71">
        <f t="shared" si="0"/>
        <v>0</v>
      </c>
    </row>
    <row r="14" spans="1:17" ht="39.950000000000003" customHeight="1" x14ac:dyDescent="0.25">
      <c r="A14" s="111" t="s">
        <v>75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 t="s">
        <v>159</v>
      </c>
      <c r="K14" s="72" t="s">
        <v>159</v>
      </c>
      <c r="L14" s="72" t="s">
        <v>159</v>
      </c>
      <c r="M14" s="72" t="s">
        <v>159</v>
      </c>
      <c r="N14" s="71">
        <f t="shared" si="0"/>
        <v>0</v>
      </c>
    </row>
    <row r="15" spans="1:17" ht="39.950000000000003" customHeight="1" x14ac:dyDescent="0.25">
      <c r="A15" s="111" t="s">
        <v>76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 t="s">
        <v>159</v>
      </c>
      <c r="K15" s="72" t="s">
        <v>159</v>
      </c>
      <c r="L15" s="72" t="s">
        <v>159</v>
      </c>
      <c r="M15" s="72" t="s">
        <v>159</v>
      </c>
      <c r="N15" s="71">
        <f t="shared" si="0"/>
        <v>0</v>
      </c>
    </row>
    <row r="17" spans="2:3" ht="39.950000000000003" customHeight="1" x14ac:dyDescent="0.25">
      <c r="B17" s="71">
        <v>0</v>
      </c>
      <c r="C17" s="108">
        <v>644350</v>
      </c>
    </row>
    <row r="18" spans="2:3" ht="39.950000000000003" customHeight="1" x14ac:dyDescent="0.25">
      <c r="B18" s="71">
        <v>4</v>
      </c>
      <c r="C18" s="108">
        <f>+C17*1.12</f>
        <v>721672.00000000012</v>
      </c>
    </row>
    <row r="19" spans="2:3" ht="39.950000000000003" customHeight="1" x14ac:dyDescent="0.25">
      <c r="B19" s="71">
        <v>6</v>
      </c>
      <c r="C19" s="108">
        <f t="shared" ref="C19:C24" si="1">+C18*1.12</f>
        <v>808272.64000000025</v>
      </c>
    </row>
    <row r="20" spans="2:3" ht="39.950000000000003" customHeight="1" x14ac:dyDescent="0.25">
      <c r="B20" s="71">
        <v>7</v>
      </c>
      <c r="C20" s="108">
        <f t="shared" si="1"/>
        <v>905265.35680000042</v>
      </c>
    </row>
    <row r="21" spans="2:3" ht="39.950000000000003" customHeight="1" x14ac:dyDescent="0.25">
      <c r="B21" s="71">
        <v>8</v>
      </c>
      <c r="C21" s="108">
        <f t="shared" si="1"/>
        <v>1013897.1996160005</v>
      </c>
    </row>
    <row r="22" spans="2:3" ht="39.950000000000003" customHeight="1" x14ac:dyDescent="0.25">
      <c r="B22" s="71">
        <v>9</v>
      </c>
      <c r="C22" s="108">
        <f t="shared" si="1"/>
        <v>1135564.8635699206</v>
      </c>
    </row>
    <row r="23" spans="2:3" ht="39.950000000000003" customHeight="1" x14ac:dyDescent="0.25">
      <c r="B23" s="71">
        <v>10</v>
      </c>
      <c r="C23" s="108">
        <f t="shared" si="1"/>
        <v>1271832.6471983113</v>
      </c>
    </row>
    <row r="24" spans="2:3" ht="39.950000000000003" customHeight="1" x14ac:dyDescent="0.25">
      <c r="B24" s="71">
        <v>11</v>
      </c>
      <c r="C24" s="108">
        <f t="shared" si="1"/>
        <v>1424452.5648621088</v>
      </c>
    </row>
  </sheetData>
  <mergeCells count="1">
    <mergeCell ref="A1:M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opLeftCell="A13" workbookViewId="0">
      <selection activeCell="N35" sqref="N35"/>
    </sheetView>
  </sheetViews>
  <sheetFormatPr baseColWidth="10" defaultRowHeight="15" x14ac:dyDescent="0.25"/>
  <cols>
    <col min="1" max="1" width="11.42578125" style="1"/>
    <col min="2" max="2" width="22.42578125" style="117" bestFit="1" customWidth="1"/>
    <col min="3" max="4" width="15.5703125" style="1" bestFit="1" customWidth="1"/>
    <col min="5" max="16384" width="11.42578125" style="1"/>
  </cols>
  <sheetData>
    <row r="1" spans="1:7" ht="28.5" x14ac:dyDescent="0.45">
      <c r="A1" s="252" t="s">
        <v>180</v>
      </c>
      <c r="B1" s="252"/>
      <c r="C1" s="252"/>
      <c r="D1" s="252"/>
      <c r="E1" s="252"/>
      <c r="F1" s="252"/>
      <c r="G1" s="252"/>
    </row>
    <row r="2" spans="1:7" ht="28.5" x14ac:dyDescent="0.45">
      <c r="A2" s="130"/>
      <c r="B2" s="130"/>
      <c r="C2" s="130"/>
      <c r="D2" s="130"/>
      <c r="E2" s="130"/>
      <c r="F2" s="130"/>
      <c r="G2" s="130"/>
    </row>
    <row r="3" spans="1:7" s="76" customFormat="1" ht="14.25" x14ac:dyDescent="0.2">
      <c r="A3" s="76" t="s">
        <v>165</v>
      </c>
      <c r="B3" s="118" t="s">
        <v>166</v>
      </c>
    </row>
    <row r="4" spans="1:7" s="76" customFormat="1" ht="16.5" x14ac:dyDescent="0.2">
      <c r="A4" s="76" t="s">
        <v>167</v>
      </c>
      <c r="B4" s="118" t="s">
        <v>168</v>
      </c>
      <c r="C4" s="76" t="s">
        <v>169</v>
      </c>
      <c r="D4" s="76" t="s">
        <v>181</v>
      </c>
      <c r="F4" s="76" t="s">
        <v>170</v>
      </c>
      <c r="G4" s="76" t="s">
        <v>171</v>
      </c>
    </row>
    <row r="5" spans="1:7" s="76" customFormat="1" x14ac:dyDescent="0.2">
      <c r="A5" s="71">
        <v>1</v>
      </c>
      <c r="B5" s="118">
        <v>644350</v>
      </c>
      <c r="C5" s="118">
        <f>B5*A5</f>
        <v>644350</v>
      </c>
      <c r="D5" s="76">
        <f>A5*A5</f>
        <v>1</v>
      </c>
      <c r="F5" s="76">
        <v>1</v>
      </c>
      <c r="G5" s="118">
        <f>B5</f>
        <v>644350</v>
      </c>
    </row>
    <row r="6" spans="1:7" s="76" customFormat="1" x14ac:dyDescent="0.2">
      <c r="A6" s="71">
        <v>2</v>
      </c>
      <c r="B6" s="118">
        <f>+B5*112%</f>
        <v>721672.00000000012</v>
      </c>
      <c r="C6" s="118">
        <f t="shared" ref="C6:C9" si="0">B6*A6</f>
        <v>1443344.0000000002</v>
      </c>
      <c r="D6" s="76">
        <f t="shared" ref="D6:D10" si="1">A6*A6</f>
        <v>4</v>
      </c>
      <c r="F6" s="76">
        <v>2</v>
      </c>
      <c r="G6" s="118">
        <f t="shared" ref="G6:G10" si="2">B6</f>
        <v>721672.00000000012</v>
      </c>
    </row>
    <row r="7" spans="1:7" s="76" customFormat="1" x14ac:dyDescent="0.2">
      <c r="A7" s="71">
        <v>3</v>
      </c>
      <c r="B7" s="118">
        <f t="shared" ref="B7:B9" si="3">+B6*112%</f>
        <v>808272.64000000025</v>
      </c>
      <c r="C7" s="118">
        <f t="shared" si="0"/>
        <v>2424817.9200000009</v>
      </c>
      <c r="D7" s="76">
        <f t="shared" si="1"/>
        <v>9</v>
      </c>
      <c r="F7" s="76">
        <v>3</v>
      </c>
      <c r="G7" s="118">
        <f t="shared" si="2"/>
        <v>808272.64000000025</v>
      </c>
    </row>
    <row r="8" spans="1:7" s="76" customFormat="1" x14ac:dyDescent="0.2">
      <c r="A8" s="71">
        <v>4</v>
      </c>
      <c r="B8" s="118">
        <f t="shared" si="3"/>
        <v>905265.35680000042</v>
      </c>
      <c r="C8" s="118">
        <f t="shared" si="0"/>
        <v>3621061.4272000017</v>
      </c>
      <c r="D8" s="76">
        <f t="shared" si="1"/>
        <v>16</v>
      </c>
      <c r="F8" s="76">
        <v>4</v>
      </c>
      <c r="G8" s="118">
        <f t="shared" si="2"/>
        <v>905265.35680000042</v>
      </c>
    </row>
    <row r="9" spans="1:7" s="76" customFormat="1" x14ac:dyDescent="0.2">
      <c r="A9" s="71">
        <v>5</v>
      </c>
      <c r="B9" s="118">
        <f t="shared" si="3"/>
        <v>1013897.1996160005</v>
      </c>
      <c r="C9" s="118">
        <f t="shared" si="0"/>
        <v>5069485.9980800021</v>
      </c>
      <c r="D9" s="76">
        <f t="shared" si="1"/>
        <v>25</v>
      </c>
      <c r="F9" s="76">
        <v>5</v>
      </c>
      <c r="G9" s="118">
        <f t="shared" si="2"/>
        <v>1013897.1996160005</v>
      </c>
    </row>
    <row r="10" spans="1:7" s="76" customFormat="1" ht="15.75" thickBot="1" x14ac:dyDescent="0.25">
      <c r="A10" s="173">
        <v>6</v>
      </c>
      <c r="B10" s="171">
        <f>+B9*112%</f>
        <v>1135564.8635699206</v>
      </c>
      <c r="C10" s="171">
        <f>B10*A10</f>
        <v>6813389.1814195234</v>
      </c>
      <c r="D10" s="172">
        <f t="shared" si="1"/>
        <v>36</v>
      </c>
      <c r="F10" s="76">
        <v>6</v>
      </c>
      <c r="G10" s="118">
        <f t="shared" si="2"/>
        <v>1135564.8635699206</v>
      </c>
    </row>
    <row r="11" spans="1:7" s="76" customFormat="1" x14ac:dyDescent="0.25">
      <c r="A11" s="174">
        <f>SUM(A5:A10)</f>
        <v>21</v>
      </c>
      <c r="B11" s="175">
        <f t="shared" ref="B11:D11" si="4">SUM(B5:B10)</f>
        <v>5229022.0599859217</v>
      </c>
      <c r="C11" s="175">
        <f t="shared" si="4"/>
        <v>20016448.526699528</v>
      </c>
      <c r="D11" s="174">
        <f t="shared" si="4"/>
        <v>91</v>
      </c>
      <c r="F11" s="76">
        <v>7</v>
      </c>
      <c r="G11" s="118">
        <f>B12</f>
        <v>1214477.9400140808</v>
      </c>
    </row>
    <row r="12" spans="1:7" s="76" customFormat="1" ht="14.25" x14ac:dyDescent="0.2">
      <c r="A12" s="76">
        <v>7</v>
      </c>
      <c r="B12" s="118">
        <f>B29</f>
        <v>1214477.9400140808</v>
      </c>
      <c r="F12" s="76">
        <v>8</v>
      </c>
      <c r="G12" s="118">
        <f>B13</f>
        <v>1312470.586685441</v>
      </c>
    </row>
    <row r="13" spans="1:7" s="76" customFormat="1" ht="14.25" x14ac:dyDescent="0.2">
      <c r="A13" s="76">
        <v>8</v>
      </c>
      <c r="B13" s="118">
        <f>B30</f>
        <v>1312470.586685441</v>
      </c>
    </row>
    <row r="14" spans="1:7" s="76" customFormat="1" ht="14.25" x14ac:dyDescent="0.2">
      <c r="B14" s="118"/>
    </row>
    <row r="15" spans="1:7" s="76" customFormat="1" thickBot="1" x14ac:dyDescent="0.25">
      <c r="B15" s="118"/>
    </row>
    <row r="16" spans="1:7" s="76" customFormat="1" ht="15.75" thickBot="1" x14ac:dyDescent="0.3">
      <c r="A16" s="179" t="s">
        <v>172</v>
      </c>
      <c r="B16" s="171" t="s">
        <v>187</v>
      </c>
      <c r="C16" s="178" t="s">
        <v>172</v>
      </c>
      <c r="D16" s="181">
        <f>(A10*C11)-(A11*B11)</f>
        <v>10289227.900492817</v>
      </c>
      <c r="E16" s="180" t="s">
        <v>172</v>
      </c>
      <c r="F16" s="176">
        <f>D16/D17</f>
        <v>97992.646671360169</v>
      </c>
    </row>
    <row r="17" spans="1:6" s="76" customFormat="1" ht="16.5" x14ac:dyDescent="0.2">
      <c r="A17" s="179"/>
      <c r="B17" s="118" t="s">
        <v>173</v>
      </c>
      <c r="C17" s="179"/>
      <c r="D17" s="76">
        <f>(A10*D11)-(A11*A11)</f>
        <v>105</v>
      </c>
      <c r="E17" s="179"/>
    </row>
    <row r="18" spans="1:6" s="76" customFormat="1" ht="14.25" x14ac:dyDescent="0.2">
      <c r="A18" s="179"/>
      <c r="B18" s="118"/>
      <c r="C18" s="179"/>
      <c r="E18" s="179"/>
    </row>
    <row r="19" spans="1:6" s="76" customFormat="1" thickBot="1" x14ac:dyDescent="0.25">
      <c r="A19" s="179"/>
      <c r="B19" s="118"/>
      <c r="C19" s="179"/>
      <c r="E19" s="179"/>
    </row>
    <row r="20" spans="1:6" s="76" customFormat="1" ht="15.75" thickBot="1" x14ac:dyDescent="0.3">
      <c r="A20" s="179" t="s">
        <v>174</v>
      </c>
      <c r="B20" s="171" t="s">
        <v>188</v>
      </c>
      <c r="C20" s="179" t="s">
        <v>174</v>
      </c>
      <c r="D20" s="172">
        <f>B11-(F16*A11)</f>
        <v>3171176.4798873579</v>
      </c>
      <c r="E20" s="180" t="s">
        <v>175</v>
      </c>
      <c r="F20" s="176">
        <f>D20/D21</f>
        <v>528529.41331455961</v>
      </c>
    </row>
    <row r="21" spans="1:6" s="76" customFormat="1" ht="14.25" x14ac:dyDescent="0.2">
      <c r="B21" s="118" t="s">
        <v>176</v>
      </c>
      <c r="C21" s="179"/>
      <c r="D21" s="76">
        <f>A10</f>
        <v>6</v>
      </c>
      <c r="E21" s="179"/>
    </row>
    <row r="22" spans="1:6" s="76" customFormat="1" ht="14.25" x14ac:dyDescent="0.2">
      <c r="B22" s="118"/>
      <c r="C22" s="179"/>
      <c r="E22" s="179"/>
    </row>
    <row r="23" spans="1:6" s="76" customFormat="1" ht="15.75" x14ac:dyDescent="0.25">
      <c r="A23" s="183" t="s">
        <v>177</v>
      </c>
      <c r="B23" s="182"/>
      <c r="C23" s="179"/>
      <c r="E23" s="179"/>
    </row>
    <row r="24" spans="1:6" s="76" customFormat="1" thickBot="1" x14ac:dyDescent="0.25">
      <c r="B24" s="118"/>
      <c r="C24" s="179"/>
      <c r="E24" s="179"/>
    </row>
    <row r="25" spans="1:6" s="76" customFormat="1" ht="15.75" thickBot="1" x14ac:dyDescent="0.3">
      <c r="A25" s="179" t="s">
        <v>189</v>
      </c>
      <c r="B25" s="171">
        <f>F16*A10</f>
        <v>587955.88002816099</v>
      </c>
      <c r="C25" s="179" t="s">
        <v>189</v>
      </c>
      <c r="D25" s="76">
        <f>B25/B26</f>
        <v>0.11244088727935946</v>
      </c>
      <c r="E25" s="179"/>
      <c r="F25" s="177">
        <v>0.12</v>
      </c>
    </row>
    <row r="26" spans="1:6" s="76" customFormat="1" ht="14.25" x14ac:dyDescent="0.2">
      <c r="B26" s="118">
        <f>B11</f>
        <v>5229022.0599859217</v>
      </c>
      <c r="C26" s="179"/>
    </row>
    <row r="27" spans="1:6" s="76" customFormat="1" ht="14.25" x14ac:dyDescent="0.2">
      <c r="B27" s="118"/>
      <c r="C27" s="179"/>
    </row>
    <row r="28" spans="1:6" s="76" customFormat="1" ht="14.25" x14ac:dyDescent="0.2">
      <c r="B28" s="118"/>
      <c r="C28" s="179"/>
    </row>
    <row r="29" spans="1:6" s="76" customFormat="1" ht="14.25" x14ac:dyDescent="0.2">
      <c r="A29" s="76" t="s">
        <v>178</v>
      </c>
      <c r="B29" s="118">
        <f>F20+(F16*A12)</f>
        <v>1214477.9400140808</v>
      </c>
      <c r="C29" s="179"/>
    </row>
    <row r="30" spans="1:6" s="76" customFormat="1" ht="14.25" x14ac:dyDescent="0.2">
      <c r="A30" s="76" t="s">
        <v>178</v>
      </c>
      <c r="B30" s="118">
        <f>+F20+(F16*A13)</f>
        <v>1312470.586685441</v>
      </c>
    </row>
    <row r="31" spans="1:6" s="76" customFormat="1" ht="14.25" x14ac:dyDescent="0.2">
      <c r="B31" s="118"/>
    </row>
    <row r="32" spans="1:6" s="76" customFormat="1" ht="14.25" x14ac:dyDescent="0.2">
      <c r="B32" s="118"/>
    </row>
    <row r="33" spans="2:2" s="76" customFormat="1" ht="14.25" x14ac:dyDescent="0.2">
      <c r="B33" s="118"/>
    </row>
    <row r="34" spans="2:2" s="76" customFormat="1" ht="14.25" x14ac:dyDescent="0.2">
      <c r="B34" s="118"/>
    </row>
    <row r="35" spans="2:2" s="76" customFormat="1" ht="14.25" x14ac:dyDescent="0.2">
      <c r="B35" s="118"/>
    </row>
    <row r="36" spans="2:2" s="76" customFormat="1" ht="14.25" x14ac:dyDescent="0.2">
      <c r="B36" s="118"/>
    </row>
    <row r="37" spans="2:2" s="76" customFormat="1" ht="14.25" x14ac:dyDescent="0.2">
      <c r="B37" s="118"/>
    </row>
    <row r="38" spans="2:2" s="76" customFormat="1" ht="14.25" x14ac:dyDescent="0.2">
      <c r="B38" s="118"/>
    </row>
    <row r="39" spans="2:2" s="76" customFormat="1" ht="14.25" x14ac:dyDescent="0.2">
      <c r="B39" s="118"/>
    </row>
    <row r="40" spans="2:2" s="76" customFormat="1" ht="14.25" x14ac:dyDescent="0.2">
      <c r="B40" s="118"/>
    </row>
    <row r="41" spans="2:2" s="76" customFormat="1" ht="14.25" x14ac:dyDescent="0.2">
      <c r="B41" s="118"/>
    </row>
    <row r="42" spans="2:2" s="76" customFormat="1" ht="14.25" x14ac:dyDescent="0.2">
      <c r="B42" s="118"/>
    </row>
    <row r="43" spans="2:2" s="76" customFormat="1" ht="14.25" x14ac:dyDescent="0.2">
      <c r="B43" s="118"/>
    </row>
    <row r="44" spans="2:2" s="76" customFormat="1" ht="14.25" x14ac:dyDescent="0.2">
      <c r="B44" s="118"/>
    </row>
    <row r="45" spans="2:2" s="76" customFormat="1" ht="14.25" x14ac:dyDescent="0.2">
      <c r="B45" s="118"/>
    </row>
    <row r="46" spans="2:2" s="76" customFormat="1" ht="14.25" x14ac:dyDescent="0.2">
      <c r="B46" s="118"/>
    </row>
    <row r="47" spans="2:2" s="76" customFormat="1" ht="14.25" x14ac:dyDescent="0.2">
      <c r="B47" s="118"/>
    </row>
    <row r="48" spans="2:2" s="76" customFormat="1" ht="14.25" x14ac:dyDescent="0.2">
      <c r="B48" s="118"/>
    </row>
    <row r="49" spans="2:2" s="76" customFormat="1" ht="14.25" x14ac:dyDescent="0.2">
      <c r="B49" s="118"/>
    </row>
    <row r="50" spans="2:2" s="76" customFormat="1" ht="14.25" x14ac:dyDescent="0.2">
      <c r="B50" s="118"/>
    </row>
    <row r="51" spans="2:2" s="76" customFormat="1" ht="14.25" x14ac:dyDescent="0.2">
      <c r="B51" s="118"/>
    </row>
    <row r="52" spans="2:2" s="76" customFormat="1" ht="14.25" x14ac:dyDescent="0.2">
      <c r="B52" s="118"/>
    </row>
    <row r="53" spans="2:2" s="76" customFormat="1" ht="14.25" x14ac:dyDescent="0.2">
      <c r="B53" s="118"/>
    </row>
    <row r="54" spans="2:2" s="76" customFormat="1" ht="14.25" x14ac:dyDescent="0.2">
      <c r="B54" s="118"/>
    </row>
    <row r="55" spans="2:2" s="76" customFormat="1" ht="14.25" x14ac:dyDescent="0.2">
      <c r="B55" s="118"/>
    </row>
    <row r="56" spans="2:2" s="76" customFormat="1" ht="14.25" x14ac:dyDescent="0.2">
      <c r="B56" s="118"/>
    </row>
    <row r="57" spans="2:2" s="76" customFormat="1" ht="14.25" x14ac:dyDescent="0.2">
      <c r="B57" s="118"/>
    </row>
    <row r="58" spans="2:2" s="76" customFormat="1" ht="14.25" x14ac:dyDescent="0.2">
      <c r="B58" s="118"/>
    </row>
    <row r="59" spans="2:2" s="76" customFormat="1" ht="14.25" x14ac:dyDescent="0.2">
      <c r="B59" s="118"/>
    </row>
    <row r="60" spans="2:2" s="76" customFormat="1" ht="14.25" x14ac:dyDescent="0.2">
      <c r="B60" s="118"/>
    </row>
    <row r="61" spans="2:2" s="76" customFormat="1" ht="14.25" x14ac:dyDescent="0.2">
      <c r="B61" s="118"/>
    </row>
    <row r="62" spans="2:2" s="76" customFormat="1" ht="14.25" x14ac:dyDescent="0.2">
      <c r="B62" s="118"/>
    </row>
    <row r="63" spans="2:2" s="76" customFormat="1" ht="14.25" x14ac:dyDescent="0.2">
      <c r="B63" s="118"/>
    </row>
    <row r="64" spans="2:2" s="76" customFormat="1" ht="14.25" x14ac:dyDescent="0.2">
      <c r="B64" s="118"/>
    </row>
    <row r="65" spans="2:6" s="76" customFormat="1" ht="14.25" x14ac:dyDescent="0.2">
      <c r="B65" s="118"/>
    </row>
    <row r="66" spans="2:6" s="76" customFormat="1" ht="14.25" x14ac:dyDescent="0.2">
      <c r="B66" s="118"/>
    </row>
    <row r="67" spans="2:6" x14ac:dyDescent="0.25">
      <c r="F67" s="76"/>
    </row>
  </sheetData>
  <mergeCells count="1">
    <mergeCell ref="A1:G1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7"/>
  <sheetViews>
    <sheetView tabSelected="1" zoomScale="85" zoomScaleNormal="85" workbookViewId="0">
      <selection activeCell="BC33" sqref="BC33"/>
    </sheetView>
  </sheetViews>
  <sheetFormatPr baseColWidth="10" defaultRowHeight="14.25" x14ac:dyDescent="0.2"/>
  <cols>
    <col min="1" max="1" width="3.7109375" style="73" bestFit="1" customWidth="1"/>
    <col min="2" max="2" width="14.28515625" style="73" bestFit="1" customWidth="1"/>
    <col min="3" max="3" width="10" style="78" customWidth="1"/>
    <col min="4" max="4" width="11" style="73" customWidth="1"/>
    <col min="5" max="5" width="5" style="76" customWidth="1"/>
    <col min="6" max="6" width="4.7109375" style="76" customWidth="1"/>
    <col min="7" max="7" width="11.42578125" style="76"/>
    <col min="8" max="8" width="8.85546875" style="76" customWidth="1"/>
    <col min="9" max="9" width="17.85546875" style="76" customWidth="1"/>
    <col min="10" max="10" width="10.85546875" style="76" customWidth="1"/>
    <col min="11" max="11" width="18" style="76" customWidth="1"/>
    <col min="12" max="12" width="16.85546875" style="76" customWidth="1"/>
    <col min="13" max="13" width="7.42578125" style="76" customWidth="1"/>
    <col min="14" max="14" width="13.140625" style="76" bestFit="1" customWidth="1"/>
    <col min="15" max="15" width="9.140625" style="76" customWidth="1"/>
    <col min="16" max="16" width="8.42578125" style="76" customWidth="1"/>
    <col min="17" max="17" width="7" style="76" customWidth="1"/>
    <col min="18" max="18" width="6.85546875" style="76" customWidth="1"/>
    <col min="19" max="20" width="11.140625" style="76" bestFit="1" customWidth="1"/>
    <col min="21" max="21" width="11.85546875" style="76" bestFit="1" customWidth="1"/>
    <col min="22" max="22" width="13.42578125" style="76" bestFit="1" customWidth="1"/>
    <col min="23" max="24" width="12.28515625" style="76" bestFit="1" customWidth="1"/>
    <col min="25" max="25" width="11.85546875" style="76" bestFit="1" customWidth="1"/>
    <col min="26" max="26" width="13.28515625" style="76" bestFit="1" customWidth="1"/>
    <col min="27" max="27" width="4.7109375" style="76" bestFit="1" customWidth="1"/>
    <col min="28" max="28" width="11.5703125" style="76" bestFit="1" customWidth="1"/>
    <col min="29" max="29" width="6.28515625" style="76" bestFit="1" customWidth="1"/>
    <col min="30" max="30" width="13.42578125" style="76" bestFit="1" customWidth="1"/>
    <col min="31" max="31" width="5.42578125" style="76" bestFit="1" customWidth="1"/>
    <col min="32" max="32" width="13" style="76" bestFit="1" customWidth="1"/>
    <col min="33" max="33" width="6.28515625" style="76" bestFit="1" customWidth="1"/>
    <col min="34" max="34" width="13.42578125" style="76" bestFit="1" customWidth="1"/>
    <col min="35" max="35" width="6.28515625" style="76" bestFit="1" customWidth="1"/>
    <col min="36" max="36" width="13.42578125" style="76" bestFit="1" customWidth="1"/>
    <col min="37" max="37" width="7.28515625" style="76" bestFit="1" customWidth="1"/>
    <col min="38" max="38" width="14.5703125" style="76" bestFit="1" customWidth="1"/>
    <col min="39" max="39" width="7.28515625" style="76" bestFit="1" customWidth="1"/>
    <col min="40" max="40" width="13.42578125" style="76" bestFit="1" customWidth="1"/>
    <col min="41" max="41" width="5.42578125" style="76" bestFit="1" customWidth="1"/>
    <col min="42" max="42" width="13" style="76" bestFit="1" customWidth="1"/>
    <col min="43" max="43" width="22.7109375" style="76" bestFit="1" customWidth="1"/>
    <col min="44" max="44" width="20.42578125" style="76" bestFit="1" customWidth="1"/>
    <col min="45" max="45" width="13.140625" style="76" bestFit="1" customWidth="1"/>
    <col min="46" max="46" width="17.140625" style="76" bestFit="1" customWidth="1"/>
    <col min="47" max="47" width="13.42578125" style="76" bestFit="1" customWidth="1"/>
    <col min="48" max="49" width="13.140625" style="76" bestFit="1" customWidth="1"/>
    <col min="50" max="50" width="5" style="76" bestFit="1" customWidth="1"/>
    <col min="51" max="51" width="15.7109375" style="76" customWidth="1"/>
    <col min="52" max="52" width="17.140625" style="76" bestFit="1" customWidth="1"/>
    <col min="53" max="16384" width="11.42578125" style="76"/>
  </cols>
  <sheetData>
    <row r="1" spans="1:69" ht="59.25" x14ac:dyDescent="0.2">
      <c r="A1" s="278" t="s">
        <v>164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278"/>
      <c r="AR1" s="278"/>
      <c r="AS1" s="278"/>
      <c r="AT1" s="278"/>
      <c r="AU1" s="278"/>
      <c r="AV1" s="278"/>
      <c r="AW1" s="278"/>
      <c r="AX1" s="278"/>
      <c r="AY1" s="278"/>
      <c r="AZ1" s="278"/>
    </row>
    <row r="3" spans="1:69" ht="15.75" customHeight="1" thickBot="1" x14ac:dyDescent="0.25">
      <c r="C3" s="100" t="s">
        <v>78</v>
      </c>
      <c r="D3" s="74">
        <v>644350</v>
      </c>
      <c r="E3" s="75"/>
      <c r="F3" s="75"/>
      <c r="H3" s="276" t="s">
        <v>186</v>
      </c>
      <c r="I3" s="276"/>
      <c r="J3" s="277"/>
      <c r="K3" s="77">
        <v>74000</v>
      </c>
    </row>
    <row r="4" spans="1:69" s="133" customFormat="1" ht="27" customHeight="1" x14ac:dyDescent="0.3">
      <c r="A4" s="281" t="s">
        <v>79</v>
      </c>
      <c r="B4" s="282"/>
      <c r="C4" s="282"/>
      <c r="D4" s="283"/>
      <c r="E4" s="141"/>
      <c r="F4" s="141"/>
      <c r="G4" s="141"/>
      <c r="H4" s="141"/>
      <c r="I4" s="141"/>
      <c r="J4" s="151"/>
      <c r="K4" s="150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2"/>
      <c r="AU4" s="284" t="s">
        <v>80</v>
      </c>
      <c r="AV4" s="284"/>
      <c r="AW4" s="284"/>
      <c r="AX4" s="284"/>
      <c r="AY4" s="284"/>
      <c r="AZ4" s="142" t="s">
        <v>81</v>
      </c>
      <c r="BA4" s="131"/>
      <c r="BB4" s="131"/>
      <c r="BC4" s="131"/>
      <c r="BD4" s="131"/>
      <c r="BE4" s="132"/>
    </row>
    <row r="5" spans="1:69" s="136" customFormat="1" ht="30" customHeight="1" x14ac:dyDescent="0.2">
      <c r="A5" s="279" t="s">
        <v>82</v>
      </c>
      <c r="B5" s="279" t="s">
        <v>83</v>
      </c>
      <c r="C5" s="279" t="s">
        <v>84</v>
      </c>
      <c r="D5" s="279" t="s">
        <v>85</v>
      </c>
      <c r="E5" s="287" t="s">
        <v>86</v>
      </c>
      <c r="F5" s="288"/>
      <c r="G5" s="279" t="s">
        <v>87</v>
      </c>
      <c r="H5" s="279" t="s">
        <v>88</v>
      </c>
      <c r="I5" s="279" t="s">
        <v>185</v>
      </c>
      <c r="J5" s="279" t="s">
        <v>89</v>
      </c>
      <c r="K5" s="148" t="s">
        <v>183</v>
      </c>
      <c r="L5" s="279" t="s">
        <v>90</v>
      </c>
      <c r="M5" s="279" t="s">
        <v>184</v>
      </c>
      <c r="N5" s="279" t="s">
        <v>91</v>
      </c>
      <c r="O5" s="279" t="s">
        <v>92</v>
      </c>
      <c r="P5" s="279" t="s">
        <v>93</v>
      </c>
      <c r="Q5" s="279" t="s">
        <v>94</v>
      </c>
      <c r="R5" s="279" t="s">
        <v>95</v>
      </c>
      <c r="S5" s="279" t="s">
        <v>96</v>
      </c>
      <c r="T5" s="279" t="s">
        <v>97</v>
      </c>
      <c r="U5" s="279" t="s">
        <v>98</v>
      </c>
      <c r="V5" s="279" t="s">
        <v>99</v>
      </c>
      <c r="W5" s="279" t="s">
        <v>100</v>
      </c>
      <c r="X5" s="279" t="s">
        <v>101</v>
      </c>
      <c r="Y5" s="279" t="s">
        <v>102</v>
      </c>
      <c r="Z5" s="279" t="s">
        <v>103</v>
      </c>
      <c r="AA5" s="285" t="s">
        <v>104</v>
      </c>
      <c r="AB5" s="143" t="s">
        <v>105</v>
      </c>
      <c r="AC5" s="279" t="s">
        <v>106</v>
      </c>
      <c r="AD5" s="143" t="s">
        <v>107</v>
      </c>
      <c r="AE5" s="279" t="s">
        <v>108</v>
      </c>
      <c r="AF5" s="143" t="s">
        <v>109</v>
      </c>
      <c r="AG5" s="279" t="s">
        <v>110</v>
      </c>
      <c r="AH5" s="143" t="s">
        <v>111</v>
      </c>
      <c r="AI5" s="279" t="s">
        <v>112</v>
      </c>
      <c r="AJ5" s="143" t="s">
        <v>113</v>
      </c>
      <c r="AK5" s="279" t="s">
        <v>114</v>
      </c>
      <c r="AL5" s="143" t="s">
        <v>115</v>
      </c>
      <c r="AM5" s="279" t="s">
        <v>116</v>
      </c>
      <c r="AN5" s="143" t="s">
        <v>117</v>
      </c>
      <c r="AO5" s="279" t="s">
        <v>118</v>
      </c>
      <c r="AP5" s="143" t="s">
        <v>119</v>
      </c>
      <c r="AQ5" s="279" t="s">
        <v>120</v>
      </c>
      <c r="AR5" s="279" t="s">
        <v>121</v>
      </c>
      <c r="AS5" s="279" t="s">
        <v>122</v>
      </c>
      <c r="AT5" s="279" t="s">
        <v>123</v>
      </c>
      <c r="AU5" s="143" t="s">
        <v>124</v>
      </c>
      <c r="AV5" s="143" t="s">
        <v>125</v>
      </c>
      <c r="AW5" s="279" t="s">
        <v>126</v>
      </c>
      <c r="AX5" s="279" t="s">
        <v>127</v>
      </c>
      <c r="AY5" s="279" t="s">
        <v>128</v>
      </c>
      <c r="AZ5" s="279" t="s">
        <v>129</v>
      </c>
      <c r="BA5" s="134"/>
      <c r="BB5" s="134"/>
      <c r="BC5" s="134"/>
      <c r="BD5" s="134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</row>
    <row r="6" spans="1:69" s="139" customFormat="1" ht="24" x14ac:dyDescent="0.2">
      <c r="A6" s="280"/>
      <c r="B6" s="280"/>
      <c r="C6" s="280"/>
      <c r="D6" s="280"/>
      <c r="E6" s="144" t="s">
        <v>130</v>
      </c>
      <c r="F6" s="144" t="s">
        <v>131</v>
      </c>
      <c r="G6" s="280"/>
      <c r="H6" s="280"/>
      <c r="I6" s="280"/>
      <c r="J6" s="280"/>
      <c r="K6" s="149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6"/>
      <c r="AB6" s="145">
        <v>1</v>
      </c>
      <c r="AC6" s="280"/>
      <c r="AD6" s="145">
        <v>0.35</v>
      </c>
      <c r="AE6" s="280"/>
      <c r="AF6" s="145">
        <v>0.75</v>
      </c>
      <c r="AG6" s="280"/>
      <c r="AH6" s="145">
        <v>1.25</v>
      </c>
      <c r="AI6" s="280"/>
      <c r="AJ6" s="145">
        <v>1.75</v>
      </c>
      <c r="AK6" s="280"/>
      <c r="AL6" s="145">
        <v>2</v>
      </c>
      <c r="AM6" s="280"/>
      <c r="AN6" s="145">
        <v>2.5</v>
      </c>
      <c r="AO6" s="280"/>
      <c r="AP6" s="145">
        <v>1.1000000000000001</v>
      </c>
      <c r="AQ6" s="280"/>
      <c r="AR6" s="280"/>
      <c r="AS6" s="280"/>
      <c r="AT6" s="280"/>
      <c r="AU6" s="145">
        <v>0.04</v>
      </c>
      <c r="AV6" s="145">
        <v>0.04</v>
      </c>
      <c r="AW6" s="280"/>
      <c r="AX6" s="280"/>
      <c r="AY6" s="280"/>
      <c r="AZ6" s="280"/>
      <c r="BA6" s="137"/>
      <c r="BB6" s="137"/>
      <c r="BC6" s="137"/>
      <c r="BD6" s="137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</row>
    <row r="7" spans="1:69" ht="42.75" x14ac:dyDescent="0.2">
      <c r="A7" s="79">
        <v>1</v>
      </c>
      <c r="B7" s="80">
        <v>22028361</v>
      </c>
      <c r="C7" s="101" t="s">
        <v>43</v>
      </c>
      <c r="D7" s="96" t="s">
        <v>66</v>
      </c>
      <c r="E7" s="106" t="s">
        <v>160</v>
      </c>
      <c r="F7" s="106"/>
      <c r="G7" s="81">
        <v>41942</v>
      </c>
      <c r="H7" s="102" t="s">
        <v>161</v>
      </c>
      <c r="I7" s="126">
        <v>808273</v>
      </c>
      <c r="J7" s="215">
        <v>30</v>
      </c>
      <c r="K7" s="126">
        <f>(I7*J7)/30</f>
        <v>808273</v>
      </c>
      <c r="L7" s="216">
        <f t="shared" ref="L7:L27" si="0">IF(K7&lt;=644350*2,(74000*J7)/30,0)</f>
        <v>74000</v>
      </c>
      <c r="M7" s="83"/>
      <c r="N7" s="216">
        <f>+I7*M7/30</f>
        <v>0</v>
      </c>
      <c r="O7" s="83"/>
      <c r="P7" s="217">
        <f>+I7*O7/30</f>
        <v>0</v>
      </c>
      <c r="Q7" s="83"/>
      <c r="R7" s="83"/>
      <c r="S7" s="83"/>
      <c r="T7" s="216">
        <f t="shared" ref="T7:T27" si="1">+I7*S7/720</f>
        <v>0</v>
      </c>
      <c r="U7" s="123"/>
      <c r="V7" s="216">
        <f t="shared" ref="V7:V27" si="2">+I7*U7/30</f>
        <v>0</v>
      </c>
      <c r="W7" s="83"/>
      <c r="X7" s="216">
        <f t="shared" ref="X7:X27" si="3">(I7*W7)/30</f>
        <v>0</v>
      </c>
      <c r="Y7" s="83"/>
      <c r="Z7" s="216">
        <f t="shared" ref="Z7:Z27" si="4">(I7*Y7)/30</f>
        <v>0</v>
      </c>
      <c r="AA7" s="84">
        <v>1</v>
      </c>
      <c r="AB7" s="216">
        <f>+I7/240</f>
        <v>3367.8041666666668</v>
      </c>
      <c r="AC7" s="83"/>
      <c r="AD7" s="216">
        <f t="shared" ref="AD7:AD27" si="5">(I7*0.35)*AC7/240</f>
        <v>0</v>
      </c>
      <c r="AE7" s="83"/>
      <c r="AF7" s="216">
        <f t="shared" ref="AF7:AF27" si="6">(I7*0.75)*AE7/240</f>
        <v>0</v>
      </c>
      <c r="AG7" s="83"/>
      <c r="AH7" s="216">
        <f t="shared" ref="AH7:AH27" si="7">(I7*1.25)*AG7/240</f>
        <v>0</v>
      </c>
      <c r="AI7" s="83"/>
      <c r="AJ7" s="216">
        <f t="shared" ref="AJ7:AJ27" si="8">(I7*1.75)*AI7/240</f>
        <v>0</v>
      </c>
      <c r="AK7" s="83"/>
      <c r="AL7" s="216">
        <f t="shared" ref="AL7:AL27" si="9">(I7*2)*AK7/240</f>
        <v>0</v>
      </c>
      <c r="AM7" s="83"/>
      <c r="AN7" s="216">
        <f t="shared" ref="AN7:AN27" si="10">(I7*2.5)*AM7/240</f>
        <v>0</v>
      </c>
      <c r="AO7" s="83"/>
      <c r="AP7" s="216">
        <f t="shared" ref="AP7:AP27" si="11">(I7*1.1)*AO7/240</f>
        <v>0</v>
      </c>
      <c r="AQ7" s="127">
        <v>350000</v>
      </c>
      <c r="AR7" s="127"/>
      <c r="AS7" s="127"/>
      <c r="AT7" s="153">
        <f>K7+L7+N7+P7+T7+V7+X7+Z7+AD7+AF7+AH7+AJ7+AL7+AN7+AP7+AQ7+AR7+AS7</f>
        <v>1232273</v>
      </c>
      <c r="AU7" s="216">
        <f t="shared" ref="AU7:AU27" si="12">(AT7-L7)*4%</f>
        <v>46330.92</v>
      </c>
      <c r="AV7" s="216">
        <f t="shared" ref="AV7:AV27" si="13">(AT7-L7)*4%</f>
        <v>46330.92</v>
      </c>
      <c r="AW7" s="128"/>
      <c r="AX7" s="216">
        <f t="shared" ref="AX7:AX27" si="14">IF(AT7&gt;=644350*4,K7*1%,0)</f>
        <v>0</v>
      </c>
      <c r="AY7" s="216">
        <f t="shared" ref="AY7:AY27" si="15">+AU7+AV7+AW7+AX7</f>
        <v>92661.84</v>
      </c>
      <c r="AZ7" s="218">
        <f t="shared" ref="AZ7:AZ27" si="16">+AT7-AY7</f>
        <v>1139611.1599999999</v>
      </c>
      <c r="BA7" s="88"/>
      <c r="BB7" s="88"/>
      <c r="BC7" s="88"/>
      <c r="BD7" s="88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</row>
    <row r="8" spans="1:69" ht="28.5" x14ac:dyDescent="0.2">
      <c r="A8" s="90">
        <v>2</v>
      </c>
      <c r="B8" s="91">
        <v>101251028</v>
      </c>
      <c r="C8" s="101" t="s">
        <v>44</v>
      </c>
      <c r="D8" s="96" t="s">
        <v>67</v>
      </c>
      <c r="E8" s="107"/>
      <c r="F8" s="107" t="s">
        <v>160</v>
      </c>
      <c r="G8" s="81">
        <v>40952</v>
      </c>
      <c r="H8" s="102" t="s">
        <v>161</v>
      </c>
      <c r="I8" s="126">
        <v>644350</v>
      </c>
      <c r="J8" s="215">
        <v>24</v>
      </c>
      <c r="K8" s="126">
        <f t="shared" ref="K8:K27" si="17">(I8*J8)/30</f>
        <v>515480</v>
      </c>
      <c r="L8" s="216">
        <f t="shared" si="0"/>
        <v>59200</v>
      </c>
      <c r="M8" s="83">
        <v>6</v>
      </c>
      <c r="N8" s="216">
        <f t="shared" ref="N8:N27" si="18">+I8*M8/30</f>
        <v>128870</v>
      </c>
      <c r="O8" s="83"/>
      <c r="P8" s="217">
        <f t="shared" ref="P8:P27" si="19">+I8*O8/30</f>
        <v>0</v>
      </c>
      <c r="Q8" s="83"/>
      <c r="R8" s="83"/>
      <c r="S8" s="83"/>
      <c r="T8" s="216">
        <f t="shared" si="1"/>
        <v>0</v>
      </c>
      <c r="U8" s="123"/>
      <c r="V8" s="216">
        <f t="shared" si="2"/>
        <v>0</v>
      </c>
      <c r="W8" s="83"/>
      <c r="X8" s="216">
        <f t="shared" si="3"/>
        <v>0</v>
      </c>
      <c r="Y8" s="83"/>
      <c r="Z8" s="216">
        <f t="shared" si="4"/>
        <v>0</v>
      </c>
      <c r="AA8" s="84">
        <v>1</v>
      </c>
      <c r="AB8" s="216">
        <f t="shared" ref="AB8:AB27" si="20">+I8/240</f>
        <v>2684.7916666666665</v>
      </c>
      <c r="AC8" s="83"/>
      <c r="AD8" s="216">
        <f t="shared" si="5"/>
        <v>0</v>
      </c>
      <c r="AE8" s="83"/>
      <c r="AF8" s="216">
        <f t="shared" si="6"/>
        <v>0</v>
      </c>
      <c r="AG8" s="83"/>
      <c r="AH8" s="216">
        <f t="shared" si="7"/>
        <v>0</v>
      </c>
      <c r="AI8" s="83"/>
      <c r="AJ8" s="216">
        <f t="shared" si="8"/>
        <v>0</v>
      </c>
      <c r="AK8" s="83"/>
      <c r="AL8" s="216">
        <f t="shared" si="9"/>
        <v>0</v>
      </c>
      <c r="AM8" s="83"/>
      <c r="AN8" s="216">
        <f t="shared" si="10"/>
        <v>0</v>
      </c>
      <c r="AO8" s="83"/>
      <c r="AP8" s="216">
        <f t="shared" si="11"/>
        <v>0</v>
      </c>
      <c r="AQ8" s="129"/>
      <c r="AR8" s="129"/>
      <c r="AS8" s="129"/>
      <c r="AT8" s="153">
        <f t="shared" ref="AT8:AT27" si="21">K8+L8+N8+P8+T8+V8+X8+Z8+AD8+AF8+AH8+AJ8+AL8+AN8+AP8+AQ8+AR8+AS8</f>
        <v>703550</v>
      </c>
      <c r="AU8" s="216">
        <f t="shared" si="12"/>
        <v>25774</v>
      </c>
      <c r="AV8" s="216">
        <f t="shared" si="13"/>
        <v>25774</v>
      </c>
      <c r="AW8" s="128"/>
      <c r="AX8" s="216">
        <f t="shared" si="14"/>
        <v>0</v>
      </c>
      <c r="AY8" s="216">
        <f t="shared" si="15"/>
        <v>51548</v>
      </c>
      <c r="AZ8" s="218">
        <f t="shared" si="16"/>
        <v>652002</v>
      </c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</row>
    <row r="9" spans="1:69" ht="28.5" x14ac:dyDescent="0.2">
      <c r="A9" s="90">
        <v>3</v>
      </c>
      <c r="B9" s="91">
        <v>70558175</v>
      </c>
      <c r="C9" s="101" t="s">
        <v>45</v>
      </c>
      <c r="D9" s="96" t="s">
        <v>65</v>
      </c>
      <c r="E9" s="107" t="s">
        <v>160</v>
      </c>
      <c r="F9" s="107"/>
      <c r="G9" s="81">
        <v>40952</v>
      </c>
      <c r="H9" s="102" t="s">
        <v>161</v>
      </c>
      <c r="I9" s="126">
        <v>905265</v>
      </c>
      <c r="J9" s="215">
        <v>30</v>
      </c>
      <c r="K9" s="126">
        <f t="shared" si="17"/>
        <v>905265</v>
      </c>
      <c r="L9" s="216">
        <f t="shared" si="0"/>
        <v>74000</v>
      </c>
      <c r="M9" s="83"/>
      <c r="N9" s="216">
        <f t="shared" si="18"/>
        <v>0</v>
      </c>
      <c r="O9" s="83"/>
      <c r="P9" s="217">
        <f t="shared" si="19"/>
        <v>0</v>
      </c>
      <c r="Q9" s="83"/>
      <c r="R9" s="83"/>
      <c r="S9" s="83"/>
      <c r="T9" s="216">
        <f t="shared" si="1"/>
        <v>0</v>
      </c>
      <c r="U9" s="123"/>
      <c r="V9" s="216">
        <f t="shared" si="2"/>
        <v>0</v>
      </c>
      <c r="W9" s="83"/>
      <c r="X9" s="216">
        <f t="shared" si="3"/>
        <v>0</v>
      </c>
      <c r="Y9" s="83"/>
      <c r="Z9" s="216">
        <f t="shared" si="4"/>
        <v>0</v>
      </c>
      <c r="AA9" s="84">
        <v>1</v>
      </c>
      <c r="AB9" s="216">
        <f t="shared" si="20"/>
        <v>3771.9375</v>
      </c>
      <c r="AC9" s="83"/>
      <c r="AD9" s="216">
        <f t="shared" si="5"/>
        <v>0</v>
      </c>
      <c r="AE9" s="83"/>
      <c r="AF9" s="216">
        <f t="shared" si="6"/>
        <v>0</v>
      </c>
      <c r="AG9" s="83"/>
      <c r="AH9" s="216">
        <f t="shared" si="7"/>
        <v>0</v>
      </c>
      <c r="AI9" s="83"/>
      <c r="AJ9" s="216">
        <f t="shared" si="8"/>
        <v>0</v>
      </c>
      <c r="AK9" s="83"/>
      <c r="AL9" s="216">
        <f t="shared" si="9"/>
        <v>0</v>
      </c>
      <c r="AM9" s="83"/>
      <c r="AN9" s="216">
        <f t="shared" si="10"/>
        <v>0</v>
      </c>
      <c r="AO9" s="83"/>
      <c r="AP9" s="216">
        <f t="shared" si="11"/>
        <v>0</v>
      </c>
      <c r="AQ9" s="129"/>
      <c r="AR9" s="129"/>
      <c r="AS9" s="129"/>
      <c r="AT9" s="153">
        <f t="shared" si="21"/>
        <v>979265</v>
      </c>
      <c r="AU9" s="216">
        <f t="shared" si="12"/>
        <v>36210.6</v>
      </c>
      <c r="AV9" s="216">
        <f t="shared" si="13"/>
        <v>36210.6</v>
      </c>
      <c r="AW9" s="128"/>
      <c r="AX9" s="216">
        <f t="shared" si="14"/>
        <v>0</v>
      </c>
      <c r="AY9" s="216">
        <f t="shared" si="15"/>
        <v>72421.2</v>
      </c>
      <c r="AZ9" s="218">
        <f t="shared" si="16"/>
        <v>906843.8</v>
      </c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</row>
    <row r="10" spans="1:69" ht="28.5" x14ac:dyDescent="0.2">
      <c r="A10" s="90">
        <v>4</v>
      </c>
      <c r="B10" s="91">
        <v>101282027</v>
      </c>
      <c r="C10" s="101" t="s">
        <v>46</v>
      </c>
      <c r="D10" s="96" t="s">
        <v>68</v>
      </c>
      <c r="E10" s="107" t="s">
        <v>160</v>
      </c>
      <c r="F10" s="107"/>
      <c r="G10" s="81">
        <v>41919</v>
      </c>
      <c r="H10" s="102" t="s">
        <v>161</v>
      </c>
      <c r="I10" s="126">
        <v>721672</v>
      </c>
      <c r="J10" s="215">
        <v>30</v>
      </c>
      <c r="K10" s="126">
        <f t="shared" si="17"/>
        <v>721672</v>
      </c>
      <c r="L10" s="216">
        <f t="shared" si="0"/>
        <v>74000</v>
      </c>
      <c r="M10" s="83"/>
      <c r="N10" s="216">
        <f t="shared" si="18"/>
        <v>0</v>
      </c>
      <c r="O10" s="83"/>
      <c r="P10" s="217">
        <f t="shared" si="19"/>
        <v>0</v>
      </c>
      <c r="Q10" s="83"/>
      <c r="R10" s="83"/>
      <c r="S10" s="119"/>
      <c r="T10" s="216">
        <f t="shared" si="1"/>
        <v>0</v>
      </c>
      <c r="U10" s="123"/>
      <c r="V10" s="216">
        <f t="shared" si="2"/>
        <v>0</v>
      </c>
      <c r="W10" s="83"/>
      <c r="X10" s="216">
        <f t="shared" si="3"/>
        <v>0</v>
      </c>
      <c r="Y10" s="83"/>
      <c r="Z10" s="216">
        <f t="shared" si="4"/>
        <v>0</v>
      </c>
      <c r="AA10" s="84">
        <v>1</v>
      </c>
      <c r="AB10" s="216">
        <f t="shared" si="20"/>
        <v>3006.9666666666667</v>
      </c>
      <c r="AC10" s="83"/>
      <c r="AD10" s="216">
        <f t="shared" si="5"/>
        <v>0</v>
      </c>
      <c r="AE10" s="83"/>
      <c r="AF10" s="216">
        <f t="shared" si="6"/>
        <v>0</v>
      </c>
      <c r="AG10" s="83"/>
      <c r="AH10" s="216">
        <f t="shared" si="7"/>
        <v>0</v>
      </c>
      <c r="AI10" s="83"/>
      <c r="AJ10" s="216">
        <f t="shared" si="8"/>
        <v>0</v>
      </c>
      <c r="AK10" s="83"/>
      <c r="AL10" s="216">
        <f t="shared" si="9"/>
        <v>0</v>
      </c>
      <c r="AM10" s="83"/>
      <c r="AN10" s="216">
        <f t="shared" si="10"/>
        <v>0</v>
      </c>
      <c r="AO10" s="83"/>
      <c r="AP10" s="216">
        <f t="shared" si="11"/>
        <v>0</v>
      </c>
      <c r="AQ10" s="129"/>
      <c r="AR10" s="129"/>
      <c r="AS10" s="129"/>
      <c r="AT10" s="153">
        <f t="shared" si="21"/>
        <v>795672</v>
      </c>
      <c r="AU10" s="216">
        <f t="shared" si="12"/>
        <v>28866.880000000001</v>
      </c>
      <c r="AV10" s="216">
        <f t="shared" si="13"/>
        <v>28866.880000000001</v>
      </c>
      <c r="AW10" s="128">
        <v>300000</v>
      </c>
      <c r="AX10" s="216">
        <f t="shared" si="14"/>
        <v>0</v>
      </c>
      <c r="AY10" s="216">
        <f t="shared" si="15"/>
        <v>357733.76</v>
      </c>
      <c r="AZ10" s="218">
        <f t="shared" si="16"/>
        <v>437938.24</v>
      </c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</row>
    <row r="11" spans="1:69" ht="28.5" x14ac:dyDescent="0.2">
      <c r="A11" s="90">
        <v>5</v>
      </c>
      <c r="B11" s="91">
        <v>22030402</v>
      </c>
      <c r="C11" s="101" t="s">
        <v>47</v>
      </c>
      <c r="D11" s="96" t="s">
        <v>69</v>
      </c>
      <c r="E11" s="107" t="s">
        <v>160</v>
      </c>
      <c r="F11" s="107"/>
      <c r="G11" s="81">
        <v>41793</v>
      </c>
      <c r="H11" s="102" t="s">
        <v>161</v>
      </c>
      <c r="I11" s="126">
        <v>1135565</v>
      </c>
      <c r="J11" s="215">
        <v>30</v>
      </c>
      <c r="K11" s="126">
        <f t="shared" si="17"/>
        <v>1135565</v>
      </c>
      <c r="L11" s="216">
        <f t="shared" si="0"/>
        <v>74000</v>
      </c>
      <c r="M11" s="83"/>
      <c r="N11" s="216">
        <f t="shared" si="18"/>
        <v>0</v>
      </c>
      <c r="O11" s="83"/>
      <c r="P11" s="217">
        <f t="shared" si="19"/>
        <v>0</v>
      </c>
      <c r="Q11" s="83"/>
      <c r="R11" s="83"/>
      <c r="S11" s="83"/>
      <c r="T11" s="216">
        <f t="shared" si="1"/>
        <v>0</v>
      </c>
      <c r="U11" s="123"/>
      <c r="V11" s="216">
        <f t="shared" si="2"/>
        <v>0</v>
      </c>
      <c r="W11" s="83"/>
      <c r="X11" s="216">
        <f t="shared" si="3"/>
        <v>0</v>
      </c>
      <c r="Y11" s="83"/>
      <c r="Z11" s="216">
        <f t="shared" si="4"/>
        <v>0</v>
      </c>
      <c r="AA11" s="84">
        <v>1</v>
      </c>
      <c r="AB11" s="216">
        <f t="shared" si="20"/>
        <v>4731.520833333333</v>
      </c>
      <c r="AC11" s="83"/>
      <c r="AD11" s="216">
        <f t="shared" si="5"/>
        <v>0</v>
      </c>
      <c r="AE11" s="83"/>
      <c r="AF11" s="216">
        <f t="shared" si="6"/>
        <v>0</v>
      </c>
      <c r="AG11" s="83"/>
      <c r="AH11" s="216">
        <f t="shared" si="7"/>
        <v>0</v>
      </c>
      <c r="AI11" s="83"/>
      <c r="AJ11" s="216">
        <f t="shared" si="8"/>
        <v>0</v>
      </c>
      <c r="AK11" s="83"/>
      <c r="AL11" s="216">
        <f t="shared" si="9"/>
        <v>0</v>
      </c>
      <c r="AM11" s="83"/>
      <c r="AN11" s="216">
        <f t="shared" si="10"/>
        <v>0</v>
      </c>
      <c r="AO11" s="83"/>
      <c r="AP11" s="216">
        <f t="shared" si="11"/>
        <v>0</v>
      </c>
      <c r="AQ11" s="129"/>
      <c r="AR11" s="129"/>
      <c r="AS11" s="129"/>
      <c r="AT11" s="153">
        <f t="shared" si="21"/>
        <v>1209565</v>
      </c>
      <c r="AU11" s="216">
        <f t="shared" si="12"/>
        <v>45422.6</v>
      </c>
      <c r="AV11" s="216">
        <f t="shared" si="13"/>
        <v>45422.6</v>
      </c>
      <c r="AW11" s="128"/>
      <c r="AX11" s="216">
        <f t="shared" si="14"/>
        <v>0</v>
      </c>
      <c r="AY11" s="216">
        <f t="shared" si="15"/>
        <v>90845.2</v>
      </c>
      <c r="AZ11" s="218">
        <f t="shared" si="16"/>
        <v>1118719.8</v>
      </c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</row>
    <row r="12" spans="1:69" ht="28.5" x14ac:dyDescent="0.2">
      <c r="A12" s="90">
        <v>6</v>
      </c>
      <c r="B12" s="91">
        <v>70980698</v>
      </c>
      <c r="C12" s="101" t="s">
        <v>48</v>
      </c>
      <c r="D12" s="96" t="s">
        <v>66</v>
      </c>
      <c r="E12" s="107"/>
      <c r="F12" s="107" t="s">
        <v>160</v>
      </c>
      <c r="G12" s="81">
        <v>41947</v>
      </c>
      <c r="H12" s="102" t="s">
        <v>161</v>
      </c>
      <c r="I12" s="126">
        <v>808273</v>
      </c>
      <c r="J12" s="215">
        <v>30</v>
      </c>
      <c r="K12" s="126">
        <f t="shared" si="17"/>
        <v>808273</v>
      </c>
      <c r="L12" s="216">
        <f t="shared" si="0"/>
        <v>74000</v>
      </c>
      <c r="M12" s="83"/>
      <c r="N12" s="216">
        <f t="shared" si="18"/>
        <v>0</v>
      </c>
      <c r="O12" s="83"/>
      <c r="P12" s="217">
        <f t="shared" si="19"/>
        <v>0</v>
      </c>
      <c r="Q12" s="83"/>
      <c r="R12" s="83"/>
      <c r="S12" s="83"/>
      <c r="T12" s="216">
        <f t="shared" si="1"/>
        <v>0</v>
      </c>
      <c r="U12" s="123"/>
      <c r="V12" s="216">
        <f t="shared" si="2"/>
        <v>0</v>
      </c>
      <c r="W12" s="83"/>
      <c r="X12" s="216">
        <f t="shared" si="3"/>
        <v>0</v>
      </c>
      <c r="Y12" s="83"/>
      <c r="Z12" s="216">
        <f t="shared" si="4"/>
        <v>0</v>
      </c>
      <c r="AA12" s="84">
        <v>1</v>
      </c>
      <c r="AB12" s="216">
        <f t="shared" si="20"/>
        <v>3367.8041666666668</v>
      </c>
      <c r="AC12" s="83"/>
      <c r="AD12" s="216">
        <f t="shared" si="5"/>
        <v>0</v>
      </c>
      <c r="AE12" s="83"/>
      <c r="AF12" s="216">
        <f t="shared" si="6"/>
        <v>0</v>
      </c>
      <c r="AG12" s="83"/>
      <c r="AH12" s="216">
        <f t="shared" si="7"/>
        <v>0</v>
      </c>
      <c r="AI12" s="83"/>
      <c r="AJ12" s="216">
        <f t="shared" si="8"/>
        <v>0</v>
      </c>
      <c r="AK12" s="83"/>
      <c r="AL12" s="216">
        <f t="shared" si="9"/>
        <v>0</v>
      </c>
      <c r="AM12" s="83"/>
      <c r="AN12" s="216">
        <f t="shared" si="10"/>
        <v>0</v>
      </c>
      <c r="AO12" s="83"/>
      <c r="AP12" s="216">
        <f t="shared" si="11"/>
        <v>0</v>
      </c>
      <c r="AQ12" s="129"/>
      <c r="AR12" s="129"/>
      <c r="AS12" s="129"/>
      <c r="AT12" s="153">
        <f t="shared" si="21"/>
        <v>882273</v>
      </c>
      <c r="AU12" s="216">
        <f t="shared" si="12"/>
        <v>32330.920000000002</v>
      </c>
      <c r="AV12" s="216">
        <f t="shared" si="13"/>
        <v>32330.920000000002</v>
      </c>
      <c r="AW12" s="128"/>
      <c r="AX12" s="216">
        <f t="shared" si="14"/>
        <v>0</v>
      </c>
      <c r="AY12" s="216">
        <f t="shared" si="15"/>
        <v>64661.840000000004</v>
      </c>
      <c r="AZ12" s="218">
        <f t="shared" si="16"/>
        <v>817611.16</v>
      </c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</row>
    <row r="13" spans="1:69" ht="42.75" x14ac:dyDescent="0.2">
      <c r="A13" s="90">
        <v>7</v>
      </c>
      <c r="B13" s="91">
        <v>22050675</v>
      </c>
      <c r="C13" s="101" t="s">
        <v>49</v>
      </c>
      <c r="D13" s="96" t="s">
        <v>72</v>
      </c>
      <c r="E13" s="107" t="s">
        <v>160</v>
      </c>
      <c r="F13" s="107"/>
      <c r="G13" s="81">
        <v>42317</v>
      </c>
      <c r="H13" s="102" t="s">
        <v>161</v>
      </c>
      <c r="I13" s="126">
        <v>1013897</v>
      </c>
      <c r="J13" s="215">
        <v>21</v>
      </c>
      <c r="K13" s="126">
        <f t="shared" si="17"/>
        <v>709727.9</v>
      </c>
      <c r="L13" s="216">
        <f t="shared" si="0"/>
        <v>51800</v>
      </c>
      <c r="M13" s="83">
        <v>9</v>
      </c>
      <c r="N13" s="216">
        <f t="shared" si="18"/>
        <v>304169.09999999998</v>
      </c>
      <c r="O13" s="83"/>
      <c r="P13" s="217">
        <f t="shared" si="19"/>
        <v>0</v>
      </c>
      <c r="Q13" s="83"/>
      <c r="R13" s="83"/>
      <c r="S13" s="83"/>
      <c r="T13" s="216">
        <f t="shared" si="1"/>
        <v>0</v>
      </c>
      <c r="U13" s="123"/>
      <c r="V13" s="216">
        <f t="shared" si="2"/>
        <v>0</v>
      </c>
      <c r="W13" s="83"/>
      <c r="X13" s="216">
        <f t="shared" si="3"/>
        <v>0</v>
      </c>
      <c r="Y13" s="83"/>
      <c r="Z13" s="216">
        <f t="shared" si="4"/>
        <v>0</v>
      </c>
      <c r="AA13" s="84">
        <v>1</v>
      </c>
      <c r="AB13" s="216">
        <f t="shared" si="20"/>
        <v>4224.5708333333332</v>
      </c>
      <c r="AC13" s="83"/>
      <c r="AD13" s="216">
        <f t="shared" si="5"/>
        <v>0</v>
      </c>
      <c r="AE13" s="83"/>
      <c r="AF13" s="216">
        <f t="shared" si="6"/>
        <v>0</v>
      </c>
      <c r="AG13" s="83"/>
      <c r="AH13" s="216">
        <f t="shared" si="7"/>
        <v>0</v>
      </c>
      <c r="AI13" s="83"/>
      <c r="AJ13" s="216">
        <f t="shared" si="8"/>
        <v>0</v>
      </c>
      <c r="AK13" s="83"/>
      <c r="AL13" s="216">
        <f t="shared" si="9"/>
        <v>0</v>
      </c>
      <c r="AM13" s="83"/>
      <c r="AN13" s="216">
        <f t="shared" si="10"/>
        <v>0</v>
      </c>
      <c r="AO13" s="83"/>
      <c r="AP13" s="216">
        <f t="shared" si="11"/>
        <v>0</v>
      </c>
      <c r="AQ13" s="129"/>
      <c r="AR13" s="129"/>
      <c r="AS13" s="129">
        <v>420000</v>
      </c>
      <c r="AT13" s="153">
        <f t="shared" si="21"/>
        <v>1485697</v>
      </c>
      <c r="AU13" s="216">
        <f t="shared" si="12"/>
        <v>57355.880000000005</v>
      </c>
      <c r="AV13" s="216">
        <f t="shared" si="13"/>
        <v>57355.880000000005</v>
      </c>
      <c r="AW13" s="128"/>
      <c r="AX13" s="216">
        <f t="shared" si="14"/>
        <v>0</v>
      </c>
      <c r="AY13" s="216">
        <f t="shared" si="15"/>
        <v>114711.76000000001</v>
      </c>
      <c r="AZ13" s="218">
        <f t="shared" si="16"/>
        <v>1370985.24</v>
      </c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</row>
    <row r="14" spans="1:69" ht="31.5" customHeight="1" x14ac:dyDescent="0.2">
      <c r="A14" s="90">
        <v>8</v>
      </c>
      <c r="B14" s="91">
        <v>43760895</v>
      </c>
      <c r="C14" s="101" t="s">
        <v>50</v>
      </c>
      <c r="D14" s="96" t="s">
        <v>73</v>
      </c>
      <c r="E14" s="107"/>
      <c r="F14" s="107" t="s">
        <v>160</v>
      </c>
      <c r="G14" s="81">
        <v>40952</v>
      </c>
      <c r="H14" s="102" t="s">
        <v>161</v>
      </c>
      <c r="I14" s="126">
        <v>644350</v>
      </c>
      <c r="J14" s="215">
        <v>30</v>
      </c>
      <c r="K14" s="126">
        <f t="shared" si="17"/>
        <v>644350</v>
      </c>
      <c r="L14" s="216">
        <f t="shared" si="0"/>
        <v>74000</v>
      </c>
      <c r="M14" s="83"/>
      <c r="N14" s="216">
        <f t="shared" si="18"/>
        <v>0</v>
      </c>
      <c r="O14" s="83"/>
      <c r="P14" s="217">
        <f t="shared" si="19"/>
        <v>0</v>
      </c>
      <c r="Q14" s="83"/>
      <c r="R14" s="83"/>
      <c r="S14" s="83"/>
      <c r="T14" s="216">
        <f t="shared" si="1"/>
        <v>0</v>
      </c>
      <c r="U14" s="123">
        <v>1</v>
      </c>
      <c r="V14" s="216">
        <f t="shared" si="2"/>
        <v>21478.333333333332</v>
      </c>
      <c r="W14" s="83"/>
      <c r="X14" s="216">
        <f t="shared" si="3"/>
        <v>0</v>
      </c>
      <c r="Y14" s="83"/>
      <c r="Z14" s="216">
        <f t="shared" si="4"/>
        <v>0</v>
      </c>
      <c r="AA14" s="84">
        <v>1</v>
      </c>
      <c r="AB14" s="216">
        <f t="shared" si="20"/>
        <v>2684.7916666666665</v>
      </c>
      <c r="AC14" s="83"/>
      <c r="AD14" s="216">
        <f t="shared" si="5"/>
        <v>0</v>
      </c>
      <c r="AE14" s="83"/>
      <c r="AF14" s="216">
        <f t="shared" si="6"/>
        <v>0</v>
      </c>
      <c r="AG14" s="83"/>
      <c r="AH14" s="216">
        <f t="shared" si="7"/>
        <v>0</v>
      </c>
      <c r="AI14" s="83"/>
      <c r="AJ14" s="216">
        <f t="shared" si="8"/>
        <v>0</v>
      </c>
      <c r="AK14" s="83"/>
      <c r="AL14" s="216">
        <f t="shared" si="9"/>
        <v>0</v>
      </c>
      <c r="AM14" s="83"/>
      <c r="AN14" s="216">
        <f t="shared" si="10"/>
        <v>0</v>
      </c>
      <c r="AO14" s="83"/>
      <c r="AP14" s="216">
        <f t="shared" si="11"/>
        <v>0</v>
      </c>
      <c r="AQ14" s="129"/>
      <c r="AR14" s="129"/>
      <c r="AS14" s="129"/>
      <c r="AT14" s="153">
        <f t="shared" si="21"/>
        <v>739828.33333333337</v>
      </c>
      <c r="AU14" s="216">
        <f t="shared" si="12"/>
        <v>26633.133333333335</v>
      </c>
      <c r="AV14" s="216">
        <f t="shared" si="13"/>
        <v>26633.133333333335</v>
      </c>
      <c r="AW14" s="128"/>
      <c r="AX14" s="216">
        <f t="shared" si="14"/>
        <v>0</v>
      </c>
      <c r="AY14" s="216">
        <f t="shared" si="15"/>
        <v>53266.26666666667</v>
      </c>
      <c r="AZ14" s="218">
        <f t="shared" si="16"/>
        <v>686562.06666666665</v>
      </c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</row>
    <row r="15" spans="1:69" ht="28.5" x14ac:dyDescent="0.2">
      <c r="A15" s="90">
        <v>9</v>
      </c>
      <c r="B15" s="91">
        <v>22005265</v>
      </c>
      <c r="C15" s="101" t="s">
        <v>51</v>
      </c>
      <c r="D15" s="96" t="s">
        <v>75</v>
      </c>
      <c r="E15" s="107"/>
      <c r="F15" s="107" t="s">
        <v>160</v>
      </c>
      <c r="G15" s="81">
        <v>42250</v>
      </c>
      <c r="H15" s="102" t="s">
        <v>161</v>
      </c>
      <c r="I15" s="126">
        <v>644350</v>
      </c>
      <c r="J15" s="215">
        <v>27</v>
      </c>
      <c r="K15" s="126">
        <f t="shared" si="17"/>
        <v>579915</v>
      </c>
      <c r="L15" s="216">
        <f t="shared" si="0"/>
        <v>66600</v>
      </c>
      <c r="M15" s="83"/>
      <c r="N15" s="216">
        <f t="shared" si="18"/>
        <v>0</v>
      </c>
      <c r="O15" s="83"/>
      <c r="P15" s="217">
        <f t="shared" si="19"/>
        <v>0</v>
      </c>
      <c r="Q15" s="83"/>
      <c r="R15" s="83"/>
      <c r="S15" s="83"/>
      <c r="T15" s="216">
        <f t="shared" si="1"/>
        <v>0</v>
      </c>
      <c r="U15" s="123"/>
      <c r="V15" s="216">
        <f t="shared" si="2"/>
        <v>0</v>
      </c>
      <c r="W15" s="83"/>
      <c r="X15" s="216">
        <f t="shared" si="3"/>
        <v>0</v>
      </c>
      <c r="Y15" s="116"/>
      <c r="Z15" s="216">
        <f t="shared" si="4"/>
        <v>0</v>
      </c>
      <c r="AA15" s="84">
        <v>1</v>
      </c>
      <c r="AB15" s="216">
        <f t="shared" si="20"/>
        <v>2684.7916666666665</v>
      </c>
      <c r="AC15" s="83"/>
      <c r="AD15" s="216">
        <f t="shared" si="5"/>
        <v>0</v>
      </c>
      <c r="AE15" s="83"/>
      <c r="AF15" s="216">
        <f t="shared" si="6"/>
        <v>0</v>
      </c>
      <c r="AG15" s="83"/>
      <c r="AH15" s="216">
        <f t="shared" si="7"/>
        <v>0</v>
      </c>
      <c r="AI15" s="83"/>
      <c r="AJ15" s="216">
        <f t="shared" si="8"/>
        <v>0</v>
      </c>
      <c r="AK15" s="83"/>
      <c r="AL15" s="216">
        <f t="shared" si="9"/>
        <v>0</v>
      </c>
      <c r="AM15" s="83"/>
      <c r="AN15" s="216">
        <f t="shared" si="10"/>
        <v>0</v>
      </c>
      <c r="AO15" s="83"/>
      <c r="AP15" s="216">
        <f t="shared" si="11"/>
        <v>0</v>
      </c>
      <c r="AQ15" s="129"/>
      <c r="AR15" s="129"/>
      <c r="AS15" s="129"/>
      <c r="AT15" s="153">
        <f t="shared" si="21"/>
        <v>646515</v>
      </c>
      <c r="AU15" s="216">
        <f t="shared" si="12"/>
        <v>23196.600000000002</v>
      </c>
      <c r="AV15" s="216">
        <f t="shared" si="13"/>
        <v>23196.600000000002</v>
      </c>
      <c r="AW15" s="128"/>
      <c r="AX15" s="216">
        <f t="shared" si="14"/>
        <v>0</v>
      </c>
      <c r="AY15" s="216">
        <f t="shared" si="15"/>
        <v>46393.200000000004</v>
      </c>
      <c r="AZ15" s="218">
        <f t="shared" si="16"/>
        <v>600121.80000000005</v>
      </c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</row>
    <row r="16" spans="1:69" ht="28.5" x14ac:dyDescent="0.2">
      <c r="A16" s="90">
        <v>10</v>
      </c>
      <c r="B16" s="91">
        <v>70551397</v>
      </c>
      <c r="C16" s="101" t="s">
        <v>52</v>
      </c>
      <c r="D16" s="96" t="s">
        <v>74</v>
      </c>
      <c r="E16" s="107"/>
      <c r="F16" s="107" t="s">
        <v>160</v>
      </c>
      <c r="G16" s="81">
        <v>41951</v>
      </c>
      <c r="H16" s="102" t="s">
        <v>161</v>
      </c>
      <c r="I16" s="126">
        <v>644350</v>
      </c>
      <c r="J16" s="215">
        <v>30</v>
      </c>
      <c r="K16" s="126">
        <f t="shared" si="17"/>
        <v>644350</v>
      </c>
      <c r="L16" s="216">
        <f t="shared" si="0"/>
        <v>74000</v>
      </c>
      <c r="M16" s="83"/>
      <c r="N16" s="216">
        <f t="shared" si="18"/>
        <v>0</v>
      </c>
      <c r="O16" s="83"/>
      <c r="P16" s="217">
        <f t="shared" si="19"/>
        <v>0</v>
      </c>
      <c r="Q16" s="83"/>
      <c r="R16" s="83"/>
      <c r="S16" s="83"/>
      <c r="T16" s="216">
        <f t="shared" si="1"/>
        <v>0</v>
      </c>
      <c r="U16" s="123"/>
      <c r="V16" s="216">
        <f t="shared" si="2"/>
        <v>0</v>
      </c>
      <c r="W16" s="83"/>
      <c r="X16" s="216">
        <f t="shared" si="3"/>
        <v>0</v>
      </c>
      <c r="Y16" s="83"/>
      <c r="Z16" s="216">
        <f t="shared" si="4"/>
        <v>0</v>
      </c>
      <c r="AA16" s="84">
        <v>1</v>
      </c>
      <c r="AB16" s="216">
        <f t="shared" si="20"/>
        <v>2684.7916666666665</v>
      </c>
      <c r="AC16" s="83"/>
      <c r="AD16" s="216">
        <f t="shared" si="5"/>
        <v>0</v>
      </c>
      <c r="AE16" s="83"/>
      <c r="AF16" s="216">
        <f t="shared" si="6"/>
        <v>0</v>
      </c>
      <c r="AG16" s="83"/>
      <c r="AH16" s="216">
        <f t="shared" si="7"/>
        <v>0</v>
      </c>
      <c r="AI16" s="83"/>
      <c r="AJ16" s="216">
        <f t="shared" si="8"/>
        <v>0</v>
      </c>
      <c r="AK16" s="83"/>
      <c r="AL16" s="216">
        <f t="shared" si="9"/>
        <v>0</v>
      </c>
      <c r="AM16" s="83"/>
      <c r="AN16" s="216">
        <f t="shared" si="10"/>
        <v>0</v>
      </c>
      <c r="AO16" s="83"/>
      <c r="AP16" s="216">
        <f t="shared" si="11"/>
        <v>0</v>
      </c>
      <c r="AQ16" s="129"/>
      <c r="AR16" s="129"/>
      <c r="AS16" s="129"/>
      <c r="AT16" s="153">
        <f t="shared" si="21"/>
        <v>718350</v>
      </c>
      <c r="AU16" s="216">
        <f t="shared" si="12"/>
        <v>25774</v>
      </c>
      <c r="AV16" s="216">
        <f t="shared" si="13"/>
        <v>25774</v>
      </c>
      <c r="AW16" s="128"/>
      <c r="AX16" s="216">
        <f t="shared" si="14"/>
        <v>0</v>
      </c>
      <c r="AY16" s="216">
        <f t="shared" si="15"/>
        <v>51548</v>
      </c>
      <c r="AZ16" s="218">
        <f t="shared" si="16"/>
        <v>666802</v>
      </c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</row>
    <row r="17" spans="1:69" ht="28.5" x14ac:dyDescent="0.2">
      <c r="A17" s="90">
        <v>11</v>
      </c>
      <c r="B17" s="91">
        <v>103200123</v>
      </c>
      <c r="C17" s="101" t="s">
        <v>53</v>
      </c>
      <c r="D17" s="96" t="s">
        <v>70</v>
      </c>
      <c r="E17" s="107" t="s">
        <v>160</v>
      </c>
      <c r="F17" s="107"/>
      <c r="G17" s="81">
        <v>40952</v>
      </c>
      <c r="H17" s="102" t="s">
        <v>161</v>
      </c>
      <c r="I17" s="126">
        <v>1424453</v>
      </c>
      <c r="J17" s="215">
        <v>30</v>
      </c>
      <c r="K17" s="126">
        <f t="shared" si="17"/>
        <v>1424453</v>
      </c>
      <c r="L17" s="216">
        <f t="shared" si="0"/>
        <v>0</v>
      </c>
      <c r="M17" s="83"/>
      <c r="N17" s="216">
        <f t="shared" si="18"/>
        <v>0</v>
      </c>
      <c r="O17" s="83"/>
      <c r="P17" s="217">
        <f t="shared" si="19"/>
        <v>0</v>
      </c>
      <c r="Q17" s="83"/>
      <c r="R17" s="83"/>
      <c r="S17" s="83"/>
      <c r="T17" s="216">
        <f t="shared" si="1"/>
        <v>0</v>
      </c>
      <c r="U17" s="123"/>
      <c r="V17" s="216">
        <f t="shared" si="2"/>
        <v>0</v>
      </c>
      <c r="W17" s="83"/>
      <c r="X17" s="216">
        <f t="shared" si="3"/>
        <v>0</v>
      </c>
      <c r="Y17" s="83"/>
      <c r="Z17" s="216">
        <f t="shared" si="4"/>
        <v>0</v>
      </c>
      <c r="AA17" s="84">
        <v>1</v>
      </c>
      <c r="AB17" s="216">
        <f t="shared" si="20"/>
        <v>5935.2208333333338</v>
      </c>
      <c r="AC17" s="83"/>
      <c r="AD17" s="216">
        <f t="shared" si="5"/>
        <v>0</v>
      </c>
      <c r="AE17" s="83"/>
      <c r="AF17" s="216">
        <f t="shared" si="6"/>
        <v>0</v>
      </c>
      <c r="AG17" s="83"/>
      <c r="AH17" s="216">
        <f t="shared" si="7"/>
        <v>0</v>
      </c>
      <c r="AI17" s="83"/>
      <c r="AJ17" s="216">
        <f t="shared" si="8"/>
        <v>0</v>
      </c>
      <c r="AK17" s="83"/>
      <c r="AL17" s="216">
        <f t="shared" si="9"/>
        <v>0</v>
      </c>
      <c r="AM17" s="83"/>
      <c r="AN17" s="216">
        <f t="shared" si="10"/>
        <v>0</v>
      </c>
      <c r="AO17" s="83"/>
      <c r="AP17" s="216">
        <f t="shared" si="11"/>
        <v>0</v>
      </c>
      <c r="AQ17" s="129"/>
      <c r="AR17" s="129"/>
      <c r="AS17" s="129"/>
      <c r="AT17" s="153">
        <f t="shared" si="21"/>
        <v>1424453</v>
      </c>
      <c r="AU17" s="216">
        <f t="shared" si="12"/>
        <v>56978.12</v>
      </c>
      <c r="AV17" s="216">
        <f t="shared" si="13"/>
        <v>56978.12</v>
      </c>
      <c r="AW17" s="128"/>
      <c r="AX17" s="216">
        <f t="shared" si="14"/>
        <v>0</v>
      </c>
      <c r="AY17" s="216">
        <f t="shared" si="15"/>
        <v>113956.24</v>
      </c>
      <c r="AZ17" s="218">
        <f t="shared" si="16"/>
        <v>1310496.76</v>
      </c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</row>
    <row r="18" spans="1:69" ht="28.5" x14ac:dyDescent="0.2">
      <c r="A18" s="90">
        <v>12</v>
      </c>
      <c r="B18" s="91">
        <v>70161784</v>
      </c>
      <c r="C18" s="101" t="s">
        <v>55</v>
      </c>
      <c r="D18" s="96" t="s">
        <v>71</v>
      </c>
      <c r="E18" s="107" t="s">
        <v>160</v>
      </c>
      <c r="F18" s="107"/>
      <c r="G18" s="81">
        <v>40952</v>
      </c>
      <c r="H18" s="102" t="s">
        <v>161</v>
      </c>
      <c r="I18" s="126">
        <v>721672</v>
      </c>
      <c r="J18" s="215">
        <v>21</v>
      </c>
      <c r="K18" s="126">
        <f t="shared" si="17"/>
        <v>505170.4</v>
      </c>
      <c r="L18" s="216">
        <f t="shared" si="0"/>
        <v>51800</v>
      </c>
      <c r="M18" s="83">
        <v>9</v>
      </c>
      <c r="N18" s="216">
        <f t="shared" si="18"/>
        <v>216501.6</v>
      </c>
      <c r="O18" s="83"/>
      <c r="P18" s="217">
        <f t="shared" si="19"/>
        <v>0</v>
      </c>
      <c r="Q18" s="83"/>
      <c r="R18" s="83"/>
      <c r="S18" s="83"/>
      <c r="T18" s="216">
        <f t="shared" si="1"/>
        <v>0</v>
      </c>
      <c r="U18" s="123"/>
      <c r="V18" s="216">
        <f t="shared" si="2"/>
        <v>0</v>
      </c>
      <c r="W18" s="83"/>
      <c r="X18" s="216">
        <f t="shared" si="3"/>
        <v>0</v>
      </c>
      <c r="Y18" s="83"/>
      <c r="Z18" s="216">
        <f t="shared" si="4"/>
        <v>0</v>
      </c>
      <c r="AA18" s="84">
        <v>1</v>
      </c>
      <c r="AB18" s="216">
        <f t="shared" si="20"/>
        <v>3006.9666666666667</v>
      </c>
      <c r="AC18" s="83"/>
      <c r="AD18" s="216">
        <f t="shared" si="5"/>
        <v>0</v>
      </c>
      <c r="AE18" s="83"/>
      <c r="AF18" s="216">
        <f t="shared" si="6"/>
        <v>0</v>
      </c>
      <c r="AG18" s="83"/>
      <c r="AH18" s="216">
        <f t="shared" si="7"/>
        <v>0</v>
      </c>
      <c r="AI18" s="83"/>
      <c r="AJ18" s="216">
        <f t="shared" si="8"/>
        <v>0</v>
      </c>
      <c r="AK18" s="83"/>
      <c r="AL18" s="216">
        <f t="shared" si="9"/>
        <v>0</v>
      </c>
      <c r="AM18" s="83"/>
      <c r="AN18" s="216">
        <f t="shared" si="10"/>
        <v>0</v>
      </c>
      <c r="AO18" s="83"/>
      <c r="AP18" s="216">
        <f t="shared" si="11"/>
        <v>0</v>
      </c>
      <c r="AQ18" s="129"/>
      <c r="AR18" s="129"/>
      <c r="AS18" s="129"/>
      <c r="AT18" s="153">
        <f t="shared" si="21"/>
        <v>773472</v>
      </c>
      <c r="AU18" s="216">
        <f t="shared" si="12"/>
        <v>28866.880000000001</v>
      </c>
      <c r="AV18" s="216">
        <f t="shared" si="13"/>
        <v>28866.880000000001</v>
      </c>
      <c r="AW18" s="128"/>
      <c r="AX18" s="216">
        <f t="shared" si="14"/>
        <v>0</v>
      </c>
      <c r="AY18" s="216">
        <f t="shared" si="15"/>
        <v>57733.760000000002</v>
      </c>
      <c r="AZ18" s="218">
        <f t="shared" si="16"/>
        <v>715738.24</v>
      </c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</row>
    <row r="19" spans="1:69" ht="28.5" x14ac:dyDescent="0.2">
      <c r="A19" s="90">
        <v>13</v>
      </c>
      <c r="B19" s="91">
        <v>70303508</v>
      </c>
      <c r="C19" s="101" t="s">
        <v>54</v>
      </c>
      <c r="D19" s="96" t="s">
        <v>67</v>
      </c>
      <c r="E19" s="107"/>
      <c r="F19" s="107" t="s">
        <v>160</v>
      </c>
      <c r="G19" s="81">
        <v>41831</v>
      </c>
      <c r="H19" s="102" t="s">
        <v>161</v>
      </c>
      <c r="I19" s="126">
        <v>644350</v>
      </c>
      <c r="J19" s="215">
        <v>30</v>
      </c>
      <c r="K19" s="126">
        <f t="shared" si="17"/>
        <v>644350</v>
      </c>
      <c r="L19" s="216">
        <f t="shared" si="0"/>
        <v>74000</v>
      </c>
      <c r="M19" s="97"/>
      <c r="N19" s="216">
        <f t="shared" si="18"/>
        <v>0</v>
      </c>
      <c r="O19" s="97"/>
      <c r="P19" s="217">
        <f t="shared" si="19"/>
        <v>0</v>
      </c>
      <c r="Q19" s="97"/>
      <c r="R19" s="97"/>
      <c r="S19" s="119"/>
      <c r="T19" s="216">
        <f t="shared" si="1"/>
        <v>0</v>
      </c>
      <c r="U19" s="124"/>
      <c r="V19" s="216">
        <f t="shared" si="2"/>
        <v>0</v>
      </c>
      <c r="W19" s="97"/>
      <c r="X19" s="216">
        <f t="shared" si="3"/>
        <v>0</v>
      </c>
      <c r="Y19" s="97"/>
      <c r="Z19" s="216">
        <f t="shared" si="4"/>
        <v>0</v>
      </c>
      <c r="AA19" s="84">
        <v>1</v>
      </c>
      <c r="AB19" s="216">
        <f t="shared" si="20"/>
        <v>2684.7916666666665</v>
      </c>
      <c r="AC19" s="83"/>
      <c r="AD19" s="216">
        <f t="shared" si="5"/>
        <v>0</v>
      </c>
      <c r="AE19" s="83"/>
      <c r="AF19" s="216">
        <f t="shared" si="6"/>
        <v>0</v>
      </c>
      <c r="AG19" s="83"/>
      <c r="AH19" s="216">
        <f t="shared" si="7"/>
        <v>0</v>
      </c>
      <c r="AI19" s="83"/>
      <c r="AJ19" s="216">
        <f t="shared" si="8"/>
        <v>0</v>
      </c>
      <c r="AK19" s="83"/>
      <c r="AL19" s="216">
        <f t="shared" si="9"/>
        <v>0</v>
      </c>
      <c r="AM19" s="83"/>
      <c r="AN19" s="216">
        <f t="shared" si="10"/>
        <v>0</v>
      </c>
      <c r="AO19" s="83"/>
      <c r="AP19" s="216">
        <f t="shared" si="11"/>
        <v>0</v>
      </c>
      <c r="AQ19" s="129"/>
      <c r="AR19" s="129"/>
      <c r="AS19" s="129"/>
      <c r="AT19" s="153">
        <f t="shared" si="21"/>
        <v>718350</v>
      </c>
      <c r="AU19" s="216">
        <f t="shared" si="12"/>
        <v>25774</v>
      </c>
      <c r="AV19" s="216">
        <f t="shared" si="13"/>
        <v>25774</v>
      </c>
      <c r="AW19" s="128"/>
      <c r="AX19" s="216">
        <f t="shared" si="14"/>
        <v>0</v>
      </c>
      <c r="AY19" s="216">
        <f t="shared" si="15"/>
        <v>51548</v>
      </c>
      <c r="AZ19" s="218">
        <f t="shared" si="16"/>
        <v>666802</v>
      </c>
    </row>
    <row r="20" spans="1:69" ht="33" customHeight="1" x14ac:dyDescent="0.2">
      <c r="A20" s="90">
        <v>14</v>
      </c>
      <c r="B20" s="91">
        <v>22031873</v>
      </c>
      <c r="C20" s="104" t="s">
        <v>57</v>
      </c>
      <c r="D20" s="105" t="s">
        <v>73</v>
      </c>
      <c r="E20" s="107"/>
      <c r="F20" s="107" t="s">
        <v>160</v>
      </c>
      <c r="G20" s="81">
        <v>41831</v>
      </c>
      <c r="H20" s="102" t="s">
        <v>161</v>
      </c>
      <c r="I20" s="126">
        <v>644350</v>
      </c>
      <c r="J20" s="215">
        <v>30</v>
      </c>
      <c r="K20" s="126">
        <f t="shared" si="17"/>
        <v>644350</v>
      </c>
      <c r="L20" s="216">
        <f t="shared" si="0"/>
        <v>74000</v>
      </c>
      <c r="M20" s="83"/>
      <c r="N20" s="216">
        <f t="shared" si="18"/>
        <v>0</v>
      </c>
      <c r="O20" s="83"/>
      <c r="P20" s="217">
        <f t="shared" si="19"/>
        <v>0</v>
      </c>
      <c r="Q20" s="83"/>
      <c r="R20" s="83"/>
      <c r="S20" s="83"/>
      <c r="T20" s="216">
        <f t="shared" si="1"/>
        <v>0</v>
      </c>
      <c r="U20" s="123"/>
      <c r="V20" s="216">
        <f t="shared" si="2"/>
        <v>0</v>
      </c>
      <c r="W20" s="83"/>
      <c r="X20" s="216">
        <f t="shared" si="3"/>
        <v>0</v>
      </c>
      <c r="Y20" s="83"/>
      <c r="Z20" s="216">
        <f t="shared" si="4"/>
        <v>0</v>
      </c>
      <c r="AA20" s="84">
        <v>1</v>
      </c>
      <c r="AB20" s="216">
        <f t="shared" si="20"/>
        <v>2684.7916666666665</v>
      </c>
      <c r="AC20" s="83"/>
      <c r="AD20" s="216">
        <f t="shared" si="5"/>
        <v>0</v>
      </c>
      <c r="AE20" s="83"/>
      <c r="AF20" s="216">
        <f t="shared" si="6"/>
        <v>0</v>
      </c>
      <c r="AG20" s="83"/>
      <c r="AH20" s="216">
        <f t="shared" si="7"/>
        <v>0</v>
      </c>
      <c r="AI20" s="83"/>
      <c r="AJ20" s="216">
        <f t="shared" si="8"/>
        <v>0</v>
      </c>
      <c r="AK20" s="83"/>
      <c r="AL20" s="216">
        <f t="shared" si="9"/>
        <v>0</v>
      </c>
      <c r="AM20" s="83"/>
      <c r="AN20" s="216">
        <f t="shared" si="10"/>
        <v>0</v>
      </c>
      <c r="AO20" s="83"/>
      <c r="AP20" s="216">
        <f t="shared" si="11"/>
        <v>0</v>
      </c>
      <c r="AQ20" s="129"/>
      <c r="AR20" s="129"/>
      <c r="AS20" s="129"/>
      <c r="AT20" s="153">
        <f t="shared" si="21"/>
        <v>718350</v>
      </c>
      <c r="AU20" s="216">
        <f t="shared" si="12"/>
        <v>25774</v>
      </c>
      <c r="AV20" s="216">
        <f t="shared" si="13"/>
        <v>25774</v>
      </c>
      <c r="AW20" s="128"/>
      <c r="AX20" s="216">
        <f t="shared" si="14"/>
        <v>0</v>
      </c>
      <c r="AY20" s="216">
        <f t="shared" si="15"/>
        <v>51548</v>
      </c>
      <c r="AZ20" s="218">
        <f t="shared" si="16"/>
        <v>666802</v>
      </c>
    </row>
    <row r="21" spans="1:69" ht="28.5" x14ac:dyDescent="0.2">
      <c r="A21" s="90">
        <v>15</v>
      </c>
      <c r="B21" s="91">
        <v>32542656</v>
      </c>
      <c r="C21" s="104" t="s">
        <v>56</v>
      </c>
      <c r="D21" s="105" t="s">
        <v>73</v>
      </c>
      <c r="E21" s="107"/>
      <c r="F21" s="107" t="s">
        <v>160</v>
      </c>
      <c r="G21" s="81">
        <v>42223</v>
      </c>
      <c r="H21" s="102" t="s">
        <v>161</v>
      </c>
      <c r="I21" s="126">
        <v>644350</v>
      </c>
      <c r="J21" s="215">
        <v>30</v>
      </c>
      <c r="K21" s="126">
        <f t="shared" si="17"/>
        <v>644350</v>
      </c>
      <c r="L21" s="216">
        <f t="shared" si="0"/>
        <v>74000</v>
      </c>
      <c r="M21" s="83"/>
      <c r="N21" s="216">
        <f t="shared" si="18"/>
        <v>0</v>
      </c>
      <c r="O21" s="83"/>
      <c r="P21" s="217">
        <f t="shared" si="19"/>
        <v>0</v>
      </c>
      <c r="Q21" s="83"/>
      <c r="R21" s="83"/>
      <c r="S21" s="83"/>
      <c r="T21" s="216">
        <f t="shared" si="1"/>
        <v>0</v>
      </c>
      <c r="U21" s="123"/>
      <c r="V21" s="216">
        <f t="shared" si="2"/>
        <v>0</v>
      </c>
      <c r="W21" s="83"/>
      <c r="X21" s="216">
        <f t="shared" si="3"/>
        <v>0</v>
      </c>
      <c r="Y21" s="83"/>
      <c r="Z21" s="216">
        <f t="shared" si="4"/>
        <v>0</v>
      </c>
      <c r="AA21" s="84">
        <v>1</v>
      </c>
      <c r="AB21" s="216">
        <f t="shared" si="20"/>
        <v>2684.7916666666665</v>
      </c>
      <c r="AC21" s="83"/>
      <c r="AD21" s="216">
        <f t="shared" si="5"/>
        <v>0</v>
      </c>
      <c r="AE21" s="83"/>
      <c r="AF21" s="216">
        <f t="shared" si="6"/>
        <v>0</v>
      </c>
      <c r="AG21" s="83"/>
      <c r="AH21" s="216">
        <f t="shared" si="7"/>
        <v>0</v>
      </c>
      <c r="AI21" s="83"/>
      <c r="AJ21" s="216">
        <f t="shared" si="8"/>
        <v>0</v>
      </c>
      <c r="AK21" s="83"/>
      <c r="AL21" s="216">
        <f t="shared" si="9"/>
        <v>0</v>
      </c>
      <c r="AM21" s="83"/>
      <c r="AN21" s="216">
        <f t="shared" si="10"/>
        <v>0</v>
      </c>
      <c r="AO21" s="83"/>
      <c r="AP21" s="216">
        <f t="shared" si="11"/>
        <v>0</v>
      </c>
      <c r="AQ21" s="129"/>
      <c r="AR21" s="129"/>
      <c r="AS21" s="129"/>
      <c r="AT21" s="153">
        <f t="shared" si="21"/>
        <v>718350</v>
      </c>
      <c r="AU21" s="216">
        <f t="shared" si="12"/>
        <v>25774</v>
      </c>
      <c r="AV21" s="216">
        <f t="shared" si="13"/>
        <v>25774</v>
      </c>
      <c r="AW21" s="128"/>
      <c r="AX21" s="216">
        <f t="shared" si="14"/>
        <v>0</v>
      </c>
      <c r="AY21" s="216">
        <f t="shared" si="15"/>
        <v>51548</v>
      </c>
      <c r="AZ21" s="218">
        <f t="shared" si="16"/>
        <v>666802</v>
      </c>
    </row>
    <row r="22" spans="1:69" ht="42.75" x14ac:dyDescent="0.2">
      <c r="A22" s="90">
        <v>16</v>
      </c>
      <c r="B22" s="91">
        <v>1152209793</v>
      </c>
      <c r="C22" s="104" t="s">
        <v>58</v>
      </c>
      <c r="D22" s="105" t="s">
        <v>77</v>
      </c>
      <c r="E22" s="107" t="s">
        <v>160</v>
      </c>
      <c r="F22" s="107"/>
      <c r="G22" s="81">
        <v>40952</v>
      </c>
      <c r="H22" s="102" t="s">
        <v>161</v>
      </c>
      <c r="I22" s="126">
        <v>1271833</v>
      </c>
      <c r="J22" s="215">
        <v>30</v>
      </c>
      <c r="K22" s="126">
        <f t="shared" si="17"/>
        <v>1271833</v>
      </c>
      <c r="L22" s="216">
        <f t="shared" si="0"/>
        <v>74000</v>
      </c>
      <c r="M22" s="83"/>
      <c r="N22" s="216">
        <f t="shared" si="18"/>
        <v>0</v>
      </c>
      <c r="O22" s="83"/>
      <c r="P22" s="217">
        <f t="shared" si="19"/>
        <v>0</v>
      </c>
      <c r="Q22" s="83"/>
      <c r="R22" s="83"/>
      <c r="S22" s="83"/>
      <c r="T22" s="216">
        <f t="shared" si="1"/>
        <v>0</v>
      </c>
      <c r="U22" s="123"/>
      <c r="V22" s="216">
        <f t="shared" si="2"/>
        <v>0</v>
      </c>
      <c r="W22" s="83"/>
      <c r="X22" s="216">
        <f t="shared" si="3"/>
        <v>0</v>
      </c>
      <c r="Y22" s="83"/>
      <c r="Z22" s="216">
        <f t="shared" si="4"/>
        <v>0</v>
      </c>
      <c r="AA22" s="84">
        <v>1</v>
      </c>
      <c r="AB22" s="216">
        <f t="shared" si="20"/>
        <v>5299.3041666666668</v>
      </c>
      <c r="AC22" s="83"/>
      <c r="AD22" s="216">
        <f t="shared" si="5"/>
        <v>0</v>
      </c>
      <c r="AE22" s="83"/>
      <c r="AF22" s="216">
        <f t="shared" si="6"/>
        <v>0</v>
      </c>
      <c r="AG22" s="83"/>
      <c r="AH22" s="216">
        <f t="shared" si="7"/>
        <v>0</v>
      </c>
      <c r="AI22" s="83"/>
      <c r="AJ22" s="216">
        <f t="shared" si="8"/>
        <v>0</v>
      </c>
      <c r="AK22" s="83"/>
      <c r="AL22" s="216">
        <f t="shared" si="9"/>
        <v>0</v>
      </c>
      <c r="AM22" s="83"/>
      <c r="AN22" s="216">
        <f t="shared" si="10"/>
        <v>0</v>
      </c>
      <c r="AO22" s="83"/>
      <c r="AP22" s="216">
        <f t="shared" si="11"/>
        <v>0</v>
      </c>
      <c r="AQ22" s="129"/>
      <c r="AR22" s="129"/>
      <c r="AS22" s="129"/>
      <c r="AT22" s="153">
        <f t="shared" si="21"/>
        <v>1345833</v>
      </c>
      <c r="AU22" s="216">
        <f t="shared" si="12"/>
        <v>50873.32</v>
      </c>
      <c r="AV22" s="216">
        <f t="shared" si="13"/>
        <v>50873.32</v>
      </c>
      <c r="AW22" s="128"/>
      <c r="AX22" s="216">
        <f t="shared" si="14"/>
        <v>0</v>
      </c>
      <c r="AY22" s="216">
        <f t="shared" si="15"/>
        <v>101746.64</v>
      </c>
      <c r="AZ22" s="218">
        <f t="shared" si="16"/>
        <v>1244086.3600000001</v>
      </c>
    </row>
    <row r="23" spans="1:69" ht="28.5" x14ac:dyDescent="0.2">
      <c r="A23" s="90">
        <v>17</v>
      </c>
      <c r="B23" s="91">
        <v>71644291</v>
      </c>
      <c r="C23" s="104" t="s">
        <v>59</v>
      </c>
      <c r="D23" s="105" t="s">
        <v>74</v>
      </c>
      <c r="E23" s="107"/>
      <c r="F23" s="107" t="s">
        <v>160</v>
      </c>
      <c r="G23" s="81">
        <v>41958</v>
      </c>
      <c r="H23" s="102" t="s">
        <v>161</v>
      </c>
      <c r="I23" s="126">
        <v>644350</v>
      </c>
      <c r="J23" s="215">
        <v>30</v>
      </c>
      <c r="K23" s="126">
        <f t="shared" si="17"/>
        <v>644350</v>
      </c>
      <c r="L23" s="216">
        <f t="shared" si="0"/>
        <v>74000</v>
      </c>
      <c r="M23" s="83"/>
      <c r="N23" s="216">
        <f t="shared" si="18"/>
        <v>0</v>
      </c>
      <c r="O23" s="83"/>
      <c r="P23" s="217">
        <f t="shared" si="19"/>
        <v>0</v>
      </c>
      <c r="Q23" s="83"/>
      <c r="R23" s="83"/>
      <c r="S23" s="83"/>
      <c r="T23" s="216">
        <f t="shared" si="1"/>
        <v>0</v>
      </c>
      <c r="U23" s="123"/>
      <c r="V23" s="216">
        <f t="shared" si="2"/>
        <v>0</v>
      </c>
      <c r="W23" s="83"/>
      <c r="X23" s="216">
        <f t="shared" si="3"/>
        <v>0</v>
      </c>
      <c r="Y23" s="83"/>
      <c r="Z23" s="216">
        <f t="shared" si="4"/>
        <v>0</v>
      </c>
      <c r="AA23" s="84">
        <v>1</v>
      </c>
      <c r="AB23" s="216">
        <f t="shared" si="20"/>
        <v>2684.7916666666665</v>
      </c>
      <c r="AC23" s="83"/>
      <c r="AD23" s="216">
        <f t="shared" si="5"/>
        <v>0</v>
      </c>
      <c r="AE23" s="83"/>
      <c r="AF23" s="216">
        <f t="shared" si="6"/>
        <v>0</v>
      </c>
      <c r="AG23" s="83"/>
      <c r="AH23" s="216">
        <f t="shared" si="7"/>
        <v>0</v>
      </c>
      <c r="AI23" s="83"/>
      <c r="AJ23" s="216">
        <f t="shared" si="8"/>
        <v>0</v>
      </c>
      <c r="AK23" s="83"/>
      <c r="AL23" s="216">
        <f t="shared" si="9"/>
        <v>0</v>
      </c>
      <c r="AM23" s="83"/>
      <c r="AN23" s="216">
        <f t="shared" si="10"/>
        <v>0</v>
      </c>
      <c r="AO23" s="83"/>
      <c r="AP23" s="216">
        <f t="shared" si="11"/>
        <v>0</v>
      </c>
      <c r="AQ23" s="129"/>
      <c r="AR23" s="129">
        <v>320000</v>
      </c>
      <c r="AS23" s="129"/>
      <c r="AT23" s="153">
        <f t="shared" si="21"/>
        <v>1038350</v>
      </c>
      <c r="AU23" s="216">
        <f t="shared" si="12"/>
        <v>38574</v>
      </c>
      <c r="AV23" s="216">
        <f t="shared" si="13"/>
        <v>38574</v>
      </c>
      <c r="AW23" s="128"/>
      <c r="AX23" s="216">
        <f t="shared" si="14"/>
        <v>0</v>
      </c>
      <c r="AY23" s="216">
        <f t="shared" si="15"/>
        <v>77148</v>
      </c>
      <c r="AZ23" s="218">
        <f t="shared" si="16"/>
        <v>961202</v>
      </c>
    </row>
    <row r="24" spans="1:69" ht="42.75" x14ac:dyDescent="0.2">
      <c r="A24" s="90">
        <v>18</v>
      </c>
      <c r="B24" s="91">
        <v>22556321</v>
      </c>
      <c r="C24" s="104" t="s">
        <v>61</v>
      </c>
      <c r="D24" s="96" t="s">
        <v>75</v>
      </c>
      <c r="E24" s="107"/>
      <c r="F24" s="107" t="s">
        <v>160</v>
      </c>
      <c r="G24" s="81">
        <v>42065</v>
      </c>
      <c r="H24" s="102" t="s">
        <v>161</v>
      </c>
      <c r="I24" s="126">
        <v>644350</v>
      </c>
      <c r="J24" s="215">
        <v>30</v>
      </c>
      <c r="K24" s="126">
        <f t="shared" si="17"/>
        <v>644350</v>
      </c>
      <c r="L24" s="216">
        <f t="shared" si="0"/>
        <v>74000</v>
      </c>
      <c r="M24" s="83"/>
      <c r="N24" s="216">
        <f t="shared" si="18"/>
        <v>0</v>
      </c>
      <c r="O24" s="83"/>
      <c r="P24" s="217">
        <f t="shared" si="19"/>
        <v>0</v>
      </c>
      <c r="Q24" s="83"/>
      <c r="R24" s="83"/>
      <c r="S24" s="83"/>
      <c r="T24" s="216">
        <f t="shared" si="1"/>
        <v>0</v>
      </c>
      <c r="U24" s="123"/>
      <c r="V24" s="216">
        <f t="shared" si="2"/>
        <v>0</v>
      </c>
      <c r="W24" s="83"/>
      <c r="X24" s="216">
        <f t="shared" si="3"/>
        <v>0</v>
      </c>
      <c r="Y24" s="83"/>
      <c r="Z24" s="216">
        <f t="shared" si="4"/>
        <v>0</v>
      </c>
      <c r="AA24" s="84">
        <v>1</v>
      </c>
      <c r="AB24" s="216">
        <f t="shared" si="20"/>
        <v>2684.7916666666665</v>
      </c>
      <c r="AC24" s="83"/>
      <c r="AD24" s="216">
        <f t="shared" si="5"/>
        <v>0</v>
      </c>
      <c r="AE24" s="83"/>
      <c r="AF24" s="216">
        <f t="shared" si="6"/>
        <v>0</v>
      </c>
      <c r="AG24" s="83"/>
      <c r="AH24" s="216">
        <f t="shared" si="7"/>
        <v>0</v>
      </c>
      <c r="AI24" s="83"/>
      <c r="AJ24" s="216">
        <f t="shared" si="8"/>
        <v>0</v>
      </c>
      <c r="AK24" s="83"/>
      <c r="AL24" s="216">
        <f t="shared" si="9"/>
        <v>0</v>
      </c>
      <c r="AM24" s="83"/>
      <c r="AN24" s="216">
        <f t="shared" si="10"/>
        <v>0</v>
      </c>
      <c r="AO24" s="83"/>
      <c r="AP24" s="216">
        <f t="shared" si="11"/>
        <v>0</v>
      </c>
      <c r="AQ24" s="129"/>
      <c r="AR24" s="129"/>
      <c r="AS24" s="129"/>
      <c r="AT24" s="153">
        <f t="shared" si="21"/>
        <v>718350</v>
      </c>
      <c r="AU24" s="216">
        <f t="shared" si="12"/>
        <v>25774</v>
      </c>
      <c r="AV24" s="216">
        <f t="shared" si="13"/>
        <v>25774</v>
      </c>
      <c r="AW24" s="128">
        <v>130000</v>
      </c>
      <c r="AX24" s="216">
        <f t="shared" si="14"/>
        <v>0</v>
      </c>
      <c r="AY24" s="216">
        <f t="shared" si="15"/>
        <v>181548</v>
      </c>
      <c r="AZ24" s="218">
        <f t="shared" si="16"/>
        <v>536802</v>
      </c>
    </row>
    <row r="25" spans="1:69" ht="42.75" x14ac:dyDescent="0.2">
      <c r="A25" s="90">
        <v>19</v>
      </c>
      <c r="B25" s="91">
        <v>101500572</v>
      </c>
      <c r="C25" s="104" t="s">
        <v>62</v>
      </c>
      <c r="D25" s="105" t="s">
        <v>73</v>
      </c>
      <c r="E25" s="107"/>
      <c r="F25" s="107" t="s">
        <v>160</v>
      </c>
      <c r="G25" s="81">
        <v>42036</v>
      </c>
      <c r="H25" s="102" t="s">
        <v>161</v>
      </c>
      <c r="I25" s="126">
        <v>644350</v>
      </c>
      <c r="J25" s="215">
        <v>13</v>
      </c>
      <c r="K25" s="126">
        <f t="shared" si="17"/>
        <v>279218.33333333331</v>
      </c>
      <c r="L25" s="216">
        <f t="shared" si="0"/>
        <v>32066.666666666668</v>
      </c>
      <c r="M25" s="83"/>
      <c r="N25" s="216">
        <f t="shared" si="18"/>
        <v>0</v>
      </c>
      <c r="O25" s="83"/>
      <c r="P25" s="217">
        <f t="shared" si="19"/>
        <v>0</v>
      </c>
      <c r="Q25" s="83"/>
      <c r="R25" s="83"/>
      <c r="S25" s="83"/>
      <c r="T25" s="216">
        <f t="shared" si="1"/>
        <v>0</v>
      </c>
      <c r="U25" s="123"/>
      <c r="V25" s="216">
        <f t="shared" si="2"/>
        <v>0</v>
      </c>
      <c r="W25" s="83"/>
      <c r="X25" s="216">
        <f t="shared" si="3"/>
        <v>0</v>
      </c>
      <c r="Y25" s="140">
        <v>17</v>
      </c>
      <c r="Z25" s="216">
        <f t="shared" si="4"/>
        <v>365131.66666666669</v>
      </c>
      <c r="AA25" s="84">
        <v>1</v>
      </c>
      <c r="AB25" s="216">
        <f t="shared" si="20"/>
        <v>2684.7916666666665</v>
      </c>
      <c r="AC25" s="83"/>
      <c r="AD25" s="216">
        <f t="shared" si="5"/>
        <v>0</v>
      </c>
      <c r="AE25" s="83"/>
      <c r="AF25" s="216">
        <f t="shared" si="6"/>
        <v>0</v>
      </c>
      <c r="AG25" s="83"/>
      <c r="AH25" s="216">
        <f t="shared" si="7"/>
        <v>0</v>
      </c>
      <c r="AI25" s="83"/>
      <c r="AJ25" s="216">
        <f t="shared" si="8"/>
        <v>0</v>
      </c>
      <c r="AK25" s="83"/>
      <c r="AL25" s="216">
        <f t="shared" si="9"/>
        <v>0</v>
      </c>
      <c r="AM25" s="83"/>
      <c r="AN25" s="216">
        <f t="shared" si="10"/>
        <v>0</v>
      </c>
      <c r="AO25" s="83"/>
      <c r="AP25" s="216">
        <f t="shared" si="11"/>
        <v>0</v>
      </c>
      <c r="AQ25" s="129">
        <v>120000</v>
      </c>
      <c r="AR25" s="129"/>
      <c r="AS25" s="129"/>
      <c r="AT25" s="153">
        <f t="shared" si="21"/>
        <v>796416.66666666674</v>
      </c>
      <c r="AU25" s="216">
        <f t="shared" si="12"/>
        <v>30574.000000000004</v>
      </c>
      <c r="AV25" s="216">
        <f t="shared" si="13"/>
        <v>30574.000000000004</v>
      </c>
      <c r="AW25" s="128"/>
      <c r="AX25" s="216">
        <f t="shared" si="14"/>
        <v>0</v>
      </c>
      <c r="AY25" s="216">
        <f t="shared" si="15"/>
        <v>61148.000000000007</v>
      </c>
      <c r="AZ25" s="218">
        <f t="shared" si="16"/>
        <v>735268.66666666674</v>
      </c>
    </row>
    <row r="26" spans="1:69" ht="28.5" x14ac:dyDescent="0.2">
      <c r="A26" s="90">
        <v>20</v>
      </c>
      <c r="B26" s="91">
        <v>71350583</v>
      </c>
      <c r="C26" s="104" t="s">
        <v>63</v>
      </c>
      <c r="D26" s="96" t="s">
        <v>75</v>
      </c>
      <c r="E26" s="107"/>
      <c r="F26" s="107" t="s">
        <v>160</v>
      </c>
      <c r="G26" s="81">
        <v>41839</v>
      </c>
      <c r="H26" s="102" t="s">
        <v>161</v>
      </c>
      <c r="I26" s="126">
        <v>644350</v>
      </c>
      <c r="J26" s="215">
        <v>30</v>
      </c>
      <c r="K26" s="126">
        <f t="shared" si="17"/>
        <v>644350</v>
      </c>
      <c r="L26" s="216">
        <f t="shared" si="0"/>
        <v>74000</v>
      </c>
      <c r="M26" s="83"/>
      <c r="N26" s="216">
        <f t="shared" si="18"/>
        <v>0</v>
      </c>
      <c r="O26" s="83"/>
      <c r="P26" s="217">
        <f t="shared" si="19"/>
        <v>0</v>
      </c>
      <c r="Q26" s="83"/>
      <c r="R26" s="83"/>
      <c r="S26" s="83"/>
      <c r="T26" s="216">
        <f t="shared" si="1"/>
        <v>0</v>
      </c>
      <c r="U26" s="123"/>
      <c r="V26" s="216">
        <f t="shared" si="2"/>
        <v>0</v>
      </c>
      <c r="W26" s="83"/>
      <c r="X26" s="216">
        <f t="shared" si="3"/>
        <v>0</v>
      </c>
      <c r="Y26" s="83"/>
      <c r="Z26" s="216">
        <f t="shared" si="4"/>
        <v>0</v>
      </c>
      <c r="AA26" s="84">
        <v>1</v>
      </c>
      <c r="AB26" s="216">
        <f t="shared" si="20"/>
        <v>2684.7916666666665</v>
      </c>
      <c r="AC26" s="83"/>
      <c r="AD26" s="216">
        <f t="shared" si="5"/>
        <v>0</v>
      </c>
      <c r="AE26" s="83"/>
      <c r="AF26" s="216">
        <f t="shared" si="6"/>
        <v>0</v>
      </c>
      <c r="AG26" s="83"/>
      <c r="AH26" s="216">
        <f t="shared" si="7"/>
        <v>0</v>
      </c>
      <c r="AI26" s="83"/>
      <c r="AJ26" s="216">
        <f t="shared" si="8"/>
        <v>0</v>
      </c>
      <c r="AK26" s="83"/>
      <c r="AL26" s="216">
        <f t="shared" si="9"/>
        <v>0</v>
      </c>
      <c r="AM26" s="83"/>
      <c r="AN26" s="216">
        <f t="shared" si="10"/>
        <v>0</v>
      </c>
      <c r="AO26" s="83"/>
      <c r="AP26" s="216">
        <f t="shared" si="11"/>
        <v>0</v>
      </c>
      <c r="AQ26" s="129"/>
      <c r="AR26" s="129"/>
      <c r="AS26" s="129"/>
      <c r="AT26" s="153">
        <f t="shared" si="21"/>
        <v>718350</v>
      </c>
      <c r="AU26" s="216">
        <f t="shared" si="12"/>
        <v>25774</v>
      </c>
      <c r="AV26" s="216">
        <f t="shared" si="13"/>
        <v>25774</v>
      </c>
      <c r="AW26" s="128">
        <v>50000</v>
      </c>
      <c r="AX26" s="216">
        <f t="shared" si="14"/>
        <v>0</v>
      </c>
      <c r="AY26" s="216">
        <f t="shared" si="15"/>
        <v>101548</v>
      </c>
      <c r="AZ26" s="218">
        <f t="shared" si="16"/>
        <v>616802</v>
      </c>
    </row>
    <row r="27" spans="1:69" ht="28.5" x14ac:dyDescent="0.2">
      <c r="A27" s="90">
        <v>21</v>
      </c>
      <c r="B27" s="91">
        <v>70583127</v>
      </c>
      <c r="C27" s="104" t="s">
        <v>64</v>
      </c>
      <c r="D27" s="105" t="s">
        <v>76</v>
      </c>
      <c r="E27" s="107"/>
      <c r="F27" s="107" t="s">
        <v>160</v>
      </c>
      <c r="G27" s="81">
        <v>41690</v>
      </c>
      <c r="H27" s="102" t="s">
        <v>161</v>
      </c>
      <c r="I27" s="126">
        <v>644350</v>
      </c>
      <c r="J27" s="215">
        <v>30</v>
      </c>
      <c r="K27" s="126">
        <f t="shared" si="17"/>
        <v>644350</v>
      </c>
      <c r="L27" s="216">
        <f t="shared" si="0"/>
        <v>74000</v>
      </c>
      <c r="M27" s="83"/>
      <c r="N27" s="216">
        <f t="shared" si="18"/>
        <v>0</v>
      </c>
      <c r="O27" s="83"/>
      <c r="P27" s="217">
        <f t="shared" si="19"/>
        <v>0</v>
      </c>
      <c r="Q27" s="83"/>
      <c r="R27" s="83"/>
      <c r="S27" s="83"/>
      <c r="T27" s="216">
        <f t="shared" si="1"/>
        <v>0</v>
      </c>
      <c r="U27" s="123"/>
      <c r="V27" s="216">
        <f t="shared" si="2"/>
        <v>0</v>
      </c>
      <c r="W27" s="83"/>
      <c r="X27" s="216">
        <f t="shared" si="3"/>
        <v>0</v>
      </c>
      <c r="Y27" s="83"/>
      <c r="Z27" s="216">
        <f t="shared" si="4"/>
        <v>0</v>
      </c>
      <c r="AA27" s="84">
        <v>1</v>
      </c>
      <c r="AB27" s="216">
        <f t="shared" si="20"/>
        <v>2684.7916666666665</v>
      </c>
      <c r="AC27" s="83"/>
      <c r="AD27" s="216">
        <f t="shared" si="5"/>
        <v>0</v>
      </c>
      <c r="AE27" s="83"/>
      <c r="AF27" s="216">
        <f t="shared" si="6"/>
        <v>0</v>
      </c>
      <c r="AG27" s="83"/>
      <c r="AH27" s="216">
        <f t="shared" si="7"/>
        <v>0</v>
      </c>
      <c r="AI27" s="83"/>
      <c r="AJ27" s="216">
        <f t="shared" si="8"/>
        <v>0</v>
      </c>
      <c r="AK27" s="83"/>
      <c r="AL27" s="216">
        <f t="shared" si="9"/>
        <v>0</v>
      </c>
      <c r="AM27" s="83"/>
      <c r="AN27" s="216">
        <f t="shared" si="10"/>
        <v>0</v>
      </c>
      <c r="AO27" s="83"/>
      <c r="AP27" s="216">
        <f t="shared" si="11"/>
        <v>0</v>
      </c>
      <c r="AQ27" s="129">
        <v>50000</v>
      </c>
      <c r="AR27" s="129"/>
      <c r="AS27" s="129"/>
      <c r="AT27" s="153">
        <f t="shared" si="21"/>
        <v>768350</v>
      </c>
      <c r="AU27" s="216">
        <f t="shared" si="12"/>
        <v>27774</v>
      </c>
      <c r="AV27" s="216">
        <f t="shared" si="13"/>
        <v>27774</v>
      </c>
      <c r="AW27" s="128"/>
      <c r="AX27" s="216">
        <f t="shared" si="14"/>
        <v>0</v>
      </c>
      <c r="AY27" s="216">
        <f t="shared" si="15"/>
        <v>55548</v>
      </c>
      <c r="AZ27" s="218">
        <f t="shared" si="16"/>
        <v>712802</v>
      </c>
    </row>
    <row r="28" spans="1:69" ht="21.75" customHeight="1" x14ac:dyDescent="0.2">
      <c r="A28" s="90"/>
      <c r="B28" s="91"/>
      <c r="C28" s="98"/>
      <c r="D28" s="99"/>
      <c r="E28" s="92"/>
      <c r="F28" s="92"/>
      <c r="G28" s="93"/>
      <c r="H28" s="103"/>
      <c r="I28" s="82"/>
      <c r="J28" s="215"/>
      <c r="K28" s="82"/>
      <c r="L28" s="215"/>
      <c r="M28" s="83"/>
      <c r="N28" s="215"/>
      <c r="O28" s="83"/>
      <c r="P28" s="215"/>
      <c r="Q28" s="83"/>
      <c r="R28" s="83"/>
      <c r="S28" s="83"/>
      <c r="T28" s="215"/>
      <c r="U28" s="83"/>
      <c r="V28" s="215"/>
      <c r="W28" s="83"/>
      <c r="X28" s="215"/>
      <c r="Y28" s="83"/>
      <c r="Z28" s="215"/>
      <c r="AA28" s="84"/>
      <c r="AB28" s="215"/>
      <c r="AC28" s="83"/>
      <c r="AD28" s="215"/>
      <c r="AE28" s="83"/>
      <c r="AF28" s="215"/>
      <c r="AG28" s="83"/>
      <c r="AH28" s="215"/>
      <c r="AI28" s="83"/>
      <c r="AJ28" s="215"/>
      <c r="AK28" s="83"/>
      <c r="AL28" s="215"/>
      <c r="AM28" s="83"/>
      <c r="AN28" s="215"/>
      <c r="AO28" s="83"/>
      <c r="AP28" s="215"/>
      <c r="AQ28" s="94"/>
      <c r="AR28" s="94"/>
      <c r="AS28" s="94"/>
      <c r="AT28" s="86"/>
      <c r="AU28" s="215"/>
      <c r="AV28" s="215"/>
      <c r="AW28" s="87"/>
      <c r="AX28" s="215"/>
      <c r="AY28" s="215"/>
      <c r="AZ28" s="215"/>
    </row>
    <row r="29" spans="1:69" ht="30" customHeight="1" x14ac:dyDescent="0.2">
      <c r="A29" s="90"/>
      <c r="B29" s="91"/>
      <c r="C29" s="98"/>
      <c r="D29" s="99"/>
      <c r="E29" s="92"/>
      <c r="F29" s="92"/>
      <c r="G29" s="93"/>
      <c r="H29" s="103"/>
      <c r="I29" s="82"/>
      <c r="J29" s="215"/>
      <c r="K29" s="82"/>
      <c r="L29" s="215"/>
      <c r="M29" s="83"/>
      <c r="N29" s="215"/>
      <c r="O29" s="83"/>
      <c r="P29" s="215"/>
      <c r="Q29" s="83"/>
      <c r="R29" s="83"/>
      <c r="S29" s="83"/>
      <c r="T29" s="215"/>
      <c r="U29" s="83"/>
      <c r="V29" s="215"/>
      <c r="W29" s="83"/>
      <c r="X29" s="215"/>
      <c r="Y29" s="83"/>
      <c r="Z29" s="215"/>
      <c r="AA29" s="84"/>
      <c r="AB29" s="215"/>
      <c r="AC29" s="83"/>
      <c r="AD29" s="215"/>
      <c r="AE29" s="83"/>
      <c r="AF29" s="215"/>
      <c r="AG29" s="83"/>
      <c r="AH29" s="215"/>
      <c r="AI29" s="83"/>
      <c r="AJ29" s="215"/>
      <c r="AK29" s="83"/>
      <c r="AL29" s="215"/>
      <c r="AM29" s="83"/>
      <c r="AN29" s="215"/>
      <c r="AO29" s="83"/>
      <c r="AP29" s="215"/>
      <c r="AQ29" s="94"/>
      <c r="AR29" s="94"/>
      <c r="AS29" s="94"/>
      <c r="AT29" s="86"/>
      <c r="AU29" s="215"/>
      <c r="AV29" s="215"/>
      <c r="AW29" s="87"/>
      <c r="AX29" s="215"/>
      <c r="AY29" s="215"/>
      <c r="AZ29" s="215"/>
    </row>
    <row r="30" spans="1:69" s="168" customFormat="1" ht="18" x14ac:dyDescent="0.25">
      <c r="A30" s="289" t="s">
        <v>23</v>
      </c>
      <c r="B30" s="289"/>
      <c r="C30" s="289"/>
      <c r="D30" s="289"/>
      <c r="E30" s="166"/>
      <c r="F30" s="166"/>
      <c r="G30" s="166"/>
      <c r="H30" s="166"/>
      <c r="I30" s="167">
        <f>SUM(I7:I29)</f>
        <v>16543103</v>
      </c>
      <c r="J30" s="167"/>
      <c r="K30" s="167">
        <f>SUM(K7:K29)</f>
        <v>15463995.633333335</v>
      </c>
      <c r="L30" s="167">
        <f t="shared" ref="L30:AY30" si="22">SUM(L7:L29)</f>
        <v>1371466.6666666667</v>
      </c>
      <c r="M30" s="167">
        <f t="shared" si="22"/>
        <v>24</v>
      </c>
      <c r="N30" s="167">
        <f t="shared" si="22"/>
        <v>649540.69999999995</v>
      </c>
      <c r="O30" s="167">
        <f t="shared" si="22"/>
        <v>0</v>
      </c>
      <c r="P30" s="167">
        <f t="shared" si="22"/>
        <v>0</v>
      </c>
      <c r="Q30" s="167">
        <f t="shared" si="22"/>
        <v>0</v>
      </c>
      <c r="R30" s="167">
        <f t="shared" si="22"/>
        <v>0</v>
      </c>
      <c r="S30" s="167">
        <f t="shared" si="22"/>
        <v>0</v>
      </c>
      <c r="T30" s="167">
        <f t="shared" si="22"/>
        <v>0</v>
      </c>
      <c r="U30" s="167">
        <f t="shared" si="22"/>
        <v>1</v>
      </c>
      <c r="V30" s="167">
        <f t="shared" si="22"/>
        <v>21478.333333333332</v>
      </c>
      <c r="W30" s="167">
        <f t="shared" si="22"/>
        <v>0</v>
      </c>
      <c r="X30" s="167">
        <f t="shared" si="22"/>
        <v>0</v>
      </c>
      <c r="Y30" s="167">
        <f t="shared" si="22"/>
        <v>17</v>
      </c>
      <c r="Z30" s="167">
        <f t="shared" si="22"/>
        <v>365131.66666666669</v>
      </c>
      <c r="AA30" s="167"/>
      <c r="AB30" s="167">
        <f t="shared" si="22"/>
        <v>68929.595833333326</v>
      </c>
      <c r="AC30" s="167">
        <f t="shared" si="22"/>
        <v>0</v>
      </c>
      <c r="AD30" s="167">
        <f t="shared" si="22"/>
        <v>0</v>
      </c>
      <c r="AE30" s="167">
        <f t="shared" si="22"/>
        <v>0</v>
      </c>
      <c r="AF30" s="167">
        <f t="shared" si="22"/>
        <v>0</v>
      </c>
      <c r="AG30" s="167">
        <f t="shared" si="22"/>
        <v>0</v>
      </c>
      <c r="AH30" s="167">
        <f t="shared" si="22"/>
        <v>0</v>
      </c>
      <c r="AI30" s="167">
        <f t="shared" si="22"/>
        <v>0</v>
      </c>
      <c r="AJ30" s="167">
        <f t="shared" si="22"/>
        <v>0</v>
      </c>
      <c r="AK30" s="167">
        <f t="shared" si="22"/>
        <v>0</v>
      </c>
      <c r="AL30" s="167">
        <f t="shared" si="22"/>
        <v>0</v>
      </c>
      <c r="AM30" s="167">
        <f t="shared" si="22"/>
        <v>0</v>
      </c>
      <c r="AN30" s="167">
        <f t="shared" si="22"/>
        <v>0</v>
      </c>
      <c r="AO30" s="167">
        <f t="shared" si="22"/>
        <v>0</v>
      </c>
      <c r="AP30" s="167">
        <f t="shared" si="22"/>
        <v>0</v>
      </c>
      <c r="AQ30" s="167">
        <f t="shared" si="22"/>
        <v>520000</v>
      </c>
      <c r="AR30" s="167">
        <f t="shared" si="22"/>
        <v>320000</v>
      </c>
      <c r="AS30" s="167">
        <f t="shared" si="22"/>
        <v>420000</v>
      </c>
      <c r="AT30" s="167">
        <f t="shared" si="22"/>
        <v>19131613</v>
      </c>
      <c r="AU30" s="167">
        <f t="shared" si="22"/>
        <v>710405.85333333339</v>
      </c>
      <c r="AV30" s="167">
        <f t="shared" si="22"/>
        <v>710405.85333333339</v>
      </c>
      <c r="AW30" s="167">
        <f t="shared" si="22"/>
        <v>480000</v>
      </c>
      <c r="AX30" s="167">
        <f t="shared" si="22"/>
        <v>0</v>
      </c>
      <c r="AY30" s="167">
        <f t="shared" si="22"/>
        <v>1900811.7066666665</v>
      </c>
      <c r="AZ30" s="167">
        <f>SUM(AZ7:AZ29)</f>
        <v>17230801.293333329</v>
      </c>
    </row>
    <row r="35" spans="1:31" x14ac:dyDescent="0.2">
      <c r="E35" s="73"/>
    </row>
    <row r="36" spans="1:31" x14ac:dyDescent="0.2">
      <c r="A36" s="76"/>
      <c r="C36" s="73"/>
      <c r="D36" s="78"/>
      <c r="E36" s="78"/>
      <c r="F36" s="73"/>
    </row>
    <row r="37" spans="1:31" ht="18" x14ac:dyDescent="0.25">
      <c r="A37" s="76"/>
      <c r="C37" s="73"/>
      <c r="D37" s="78"/>
      <c r="E37" s="78"/>
      <c r="F37" s="73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</row>
    <row r="38" spans="1:31" s="157" customFormat="1" ht="26.25" x14ac:dyDescent="0.4">
      <c r="B38" s="169" t="s">
        <v>24</v>
      </c>
      <c r="G38" s="253" t="s">
        <v>25</v>
      </c>
      <c r="H38" s="254"/>
      <c r="I38" s="254"/>
      <c r="J38" s="254"/>
      <c r="K38" s="255"/>
      <c r="O38" s="261" t="s">
        <v>26</v>
      </c>
      <c r="P38" s="261"/>
      <c r="Q38" s="261"/>
      <c r="R38" s="261"/>
      <c r="S38" s="261"/>
      <c r="U38" s="158"/>
      <c r="V38" s="158"/>
      <c r="W38" s="158"/>
      <c r="X38" s="253" t="s">
        <v>27</v>
      </c>
      <c r="Y38" s="254"/>
      <c r="Z38" s="254"/>
      <c r="AA38" s="254"/>
      <c r="AB38" s="254"/>
      <c r="AC38" s="255"/>
      <c r="AD38" s="158"/>
      <c r="AE38" s="158"/>
    </row>
    <row r="39" spans="1:31" s="1" customFormat="1" ht="23.25" x14ac:dyDescent="0.35">
      <c r="B39" s="147"/>
      <c r="C39" s="157"/>
      <c r="G39" s="271" t="s">
        <v>28</v>
      </c>
      <c r="H39" s="272"/>
      <c r="I39" s="159">
        <v>8.5000000000000006E-2</v>
      </c>
      <c r="J39" s="263"/>
      <c r="K39" s="264"/>
      <c r="O39" s="271" t="s">
        <v>29</v>
      </c>
      <c r="P39" s="272"/>
      <c r="Q39" s="160">
        <v>0.04</v>
      </c>
      <c r="R39" s="263">
        <f>B44*Q39</f>
        <v>710405.85333333327</v>
      </c>
      <c r="S39" s="264"/>
      <c r="U39" s="158"/>
      <c r="V39" s="158"/>
      <c r="W39" s="158"/>
      <c r="X39" s="162" t="s">
        <v>30</v>
      </c>
      <c r="Y39" s="165"/>
      <c r="Z39" s="269">
        <v>8.3299999999999999E-2</v>
      </c>
      <c r="AA39" s="270"/>
      <c r="AB39" s="263">
        <f>AT30*Z39</f>
        <v>1593663.3629000001</v>
      </c>
      <c r="AC39" s="264"/>
      <c r="AD39" s="158"/>
      <c r="AE39" s="158"/>
    </row>
    <row r="40" spans="1:31" s="1" customFormat="1" ht="22.5" customHeight="1" x14ac:dyDescent="0.3">
      <c r="B40" s="260">
        <f>AT30-L30</f>
        <v>17760146.333333332</v>
      </c>
      <c r="C40" s="260"/>
      <c r="G40" s="271" t="s">
        <v>31</v>
      </c>
      <c r="H40" s="272"/>
      <c r="I40" s="160">
        <v>0.12</v>
      </c>
      <c r="J40" s="263">
        <f>B40*I40</f>
        <v>2131217.5599999996</v>
      </c>
      <c r="K40" s="264"/>
      <c r="O40" s="271" t="s">
        <v>32</v>
      </c>
      <c r="P40" s="272"/>
      <c r="Q40" s="160">
        <v>0.03</v>
      </c>
      <c r="R40" s="263">
        <f>B44*Q40</f>
        <v>532804.3899999999</v>
      </c>
      <c r="S40" s="264"/>
      <c r="U40" s="158"/>
      <c r="V40" s="158"/>
      <c r="W40" s="158"/>
      <c r="X40" s="162" t="s">
        <v>33</v>
      </c>
      <c r="Y40" s="160"/>
      <c r="Z40" s="274">
        <v>0.01</v>
      </c>
      <c r="AA40" s="275"/>
      <c r="AB40" s="263">
        <f>AT30*Z40</f>
        <v>191316.13</v>
      </c>
      <c r="AC40" s="264"/>
      <c r="AD40" s="158"/>
      <c r="AE40" s="158"/>
    </row>
    <row r="41" spans="1:31" s="1" customFormat="1" ht="18.75" x14ac:dyDescent="0.3">
      <c r="D41" s="158"/>
      <c r="E41" s="158"/>
      <c r="G41" s="271" t="s">
        <v>35</v>
      </c>
      <c r="H41" s="272"/>
      <c r="I41" s="161">
        <v>1.044E-2</v>
      </c>
      <c r="J41" s="263">
        <f>B40*I41</f>
        <v>185415.92771999998</v>
      </c>
      <c r="K41" s="264"/>
      <c r="O41" s="271" t="s">
        <v>36</v>
      </c>
      <c r="P41" s="272"/>
      <c r="Q41" s="160">
        <v>0.02</v>
      </c>
      <c r="R41" s="263">
        <f>B44*Q41</f>
        <v>355202.92666666664</v>
      </c>
      <c r="S41" s="273"/>
      <c r="U41" s="158"/>
      <c r="V41" s="158"/>
      <c r="W41" s="158"/>
      <c r="X41" s="162" t="s">
        <v>37</v>
      </c>
      <c r="Y41" s="165"/>
      <c r="Z41" s="269">
        <v>8.3299999999999999E-2</v>
      </c>
      <c r="AA41" s="270"/>
      <c r="AB41" s="263">
        <f>AT30*Z41</f>
        <v>1593663.3629000001</v>
      </c>
      <c r="AC41" s="264"/>
      <c r="AD41" s="158"/>
      <c r="AE41" s="158"/>
    </row>
    <row r="42" spans="1:31" s="1" customFormat="1" ht="26.25" customHeight="1" x14ac:dyDescent="0.4">
      <c r="B42" s="170" t="s">
        <v>34</v>
      </c>
      <c r="C42" s="158"/>
      <c r="G42" s="256" t="s">
        <v>23</v>
      </c>
      <c r="H42" s="257"/>
      <c r="I42" s="258"/>
      <c r="J42" s="265">
        <f>SUM(J39:K41)</f>
        <v>2316633.4877199996</v>
      </c>
      <c r="K42" s="266"/>
      <c r="O42" s="267" t="s">
        <v>23</v>
      </c>
      <c r="P42" s="267"/>
      <c r="Q42" s="268">
        <f>SUM(R39:S41)</f>
        <v>1598413.17</v>
      </c>
      <c r="R42" s="268"/>
      <c r="S42" s="266"/>
      <c r="U42" s="158"/>
      <c r="V42" s="158"/>
      <c r="W42" s="158"/>
      <c r="X42" s="162" t="s">
        <v>38</v>
      </c>
      <c r="Y42" s="165"/>
      <c r="Z42" s="269">
        <v>4.1700000000000001E-2</v>
      </c>
      <c r="AA42" s="270"/>
      <c r="AB42" s="263">
        <f>K30*Z42</f>
        <v>644848.61791000003</v>
      </c>
      <c r="AC42" s="264"/>
      <c r="AD42" s="158"/>
      <c r="AE42" s="158"/>
    </row>
    <row r="43" spans="1:31" s="1" customFormat="1" ht="23.25" customHeight="1" x14ac:dyDescent="0.35">
      <c r="B43" s="156"/>
      <c r="C43" s="158"/>
      <c r="U43" s="158"/>
      <c r="V43" s="158"/>
      <c r="W43" s="158"/>
      <c r="X43" s="256" t="s">
        <v>23</v>
      </c>
      <c r="Y43" s="257"/>
      <c r="Z43" s="257"/>
      <c r="AA43" s="258"/>
      <c r="AB43" s="259">
        <f>SUM(AB39:AC42)</f>
        <v>4023491.47371</v>
      </c>
      <c r="AC43" s="259"/>
      <c r="AD43" s="158"/>
      <c r="AE43" s="158"/>
    </row>
    <row r="44" spans="1:31" s="1" customFormat="1" ht="18.75" x14ac:dyDescent="0.3">
      <c r="B44" s="260">
        <f>AT30-L30</f>
        <v>17760146.333333332</v>
      </c>
      <c r="C44" s="260"/>
      <c r="U44" s="164"/>
      <c r="V44" s="164"/>
      <c r="W44" s="164"/>
      <c r="X44" s="158"/>
      <c r="Y44" s="158"/>
      <c r="Z44" s="158"/>
      <c r="AA44" s="158"/>
      <c r="AB44" s="158"/>
      <c r="AC44" s="158"/>
      <c r="AD44" s="158"/>
      <c r="AE44" s="158"/>
    </row>
    <row r="45" spans="1:31" ht="18" x14ac:dyDescent="0.25">
      <c r="A45" s="76"/>
      <c r="B45" s="1"/>
      <c r="C45" s="1"/>
      <c r="D45" s="78"/>
      <c r="E45" s="78"/>
      <c r="F45" s="73"/>
      <c r="U45" s="164"/>
      <c r="V45" s="164"/>
      <c r="W45" s="164"/>
      <c r="X45" s="164"/>
      <c r="Y45" s="164"/>
      <c r="Z45" s="164"/>
    </row>
    <row r="46" spans="1:31" ht="23.25" x14ac:dyDescent="0.35">
      <c r="B46" s="1"/>
      <c r="C46" s="1"/>
      <c r="E46" s="73"/>
      <c r="O46" s="261" t="s">
        <v>39</v>
      </c>
      <c r="P46" s="261"/>
      <c r="Q46" s="261"/>
      <c r="R46" s="261"/>
      <c r="S46" s="261"/>
      <c r="T46" s="262">
        <f>AZ30+J42+Q42+AB43</f>
        <v>25169339.424763329</v>
      </c>
      <c r="U46" s="262"/>
      <c r="V46" s="262"/>
      <c r="W46" s="163"/>
      <c r="X46" s="163"/>
      <c r="Y46" s="163"/>
      <c r="Z46" s="163"/>
      <c r="AA46" s="163"/>
      <c r="AB46" s="163"/>
      <c r="AC46" s="163"/>
      <c r="AD46" s="163"/>
    </row>
    <row r="47" spans="1:31" ht="20.25" x14ac:dyDescent="0.3">
      <c r="T47" s="163"/>
      <c r="U47" s="163"/>
      <c r="V47" s="163"/>
      <c r="W47" s="163"/>
      <c r="X47" s="163"/>
      <c r="Y47" s="163"/>
      <c r="Z47" s="163"/>
      <c r="AA47" s="163"/>
      <c r="AB47" s="163"/>
      <c r="AC47" s="163"/>
    </row>
  </sheetData>
  <mergeCells count="78">
    <mergeCell ref="T5:T6"/>
    <mergeCell ref="AR5:AR6"/>
    <mergeCell ref="A30:D30"/>
    <mergeCell ref="G5:G6"/>
    <mergeCell ref="AK5:AK6"/>
    <mergeCell ref="D5:D6"/>
    <mergeCell ref="B5:B6"/>
    <mergeCell ref="V5:V6"/>
    <mergeCell ref="W5:W6"/>
    <mergeCell ref="Z5:Z6"/>
    <mergeCell ref="H5:H6"/>
    <mergeCell ref="M5:M6"/>
    <mergeCell ref="Q5:Q6"/>
    <mergeCell ref="N5:N6"/>
    <mergeCell ref="O5:O6"/>
    <mergeCell ref="A4:D4"/>
    <mergeCell ref="A5:A6"/>
    <mergeCell ref="AU4:AY4"/>
    <mergeCell ref="C5:C6"/>
    <mergeCell ref="J5:J6"/>
    <mergeCell ref="L5:L6"/>
    <mergeCell ref="AY5:AY6"/>
    <mergeCell ref="AA5:AA6"/>
    <mergeCell ref="AT5:AT6"/>
    <mergeCell ref="AO5:AO6"/>
    <mergeCell ref="AC5:AC6"/>
    <mergeCell ref="E5:F5"/>
    <mergeCell ref="P5:P6"/>
    <mergeCell ref="X5:X6"/>
    <mergeCell ref="R5:R6"/>
    <mergeCell ref="I5:I6"/>
    <mergeCell ref="H3:J3"/>
    <mergeCell ref="G38:K38"/>
    <mergeCell ref="O38:S38"/>
    <mergeCell ref="A1:AZ1"/>
    <mergeCell ref="S5:S6"/>
    <mergeCell ref="U5:U6"/>
    <mergeCell ref="Y5:Y6"/>
    <mergeCell ref="AZ5:AZ6"/>
    <mergeCell ref="AE5:AE6"/>
    <mergeCell ref="AI5:AI6"/>
    <mergeCell ref="AQ5:AQ6"/>
    <mergeCell ref="AW5:AW6"/>
    <mergeCell ref="AX5:AX6"/>
    <mergeCell ref="AG5:AG6"/>
    <mergeCell ref="AM5:AM6"/>
    <mergeCell ref="AS5:AS6"/>
    <mergeCell ref="R41:S41"/>
    <mergeCell ref="Z41:AA41"/>
    <mergeCell ref="AB39:AC39"/>
    <mergeCell ref="B40:C40"/>
    <mergeCell ref="G40:H40"/>
    <mergeCell ref="J40:K40"/>
    <mergeCell ref="O40:P40"/>
    <mergeCell ref="R40:S40"/>
    <mergeCell ref="Z40:AA40"/>
    <mergeCell ref="AB40:AC40"/>
    <mergeCell ref="G39:H39"/>
    <mergeCell ref="J39:K39"/>
    <mergeCell ref="O39:P39"/>
    <mergeCell ref="R39:S39"/>
    <mergeCell ref="Z39:AA39"/>
    <mergeCell ref="X38:AC38"/>
    <mergeCell ref="X43:AA43"/>
    <mergeCell ref="AB43:AC43"/>
    <mergeCell ref="B44:C44"/>
    <mergeCell ref="O46:S46"/>
    <mergeCell ref="T46:V46"/>
    <mergeCell ref="AB41:AC41"/>
    <mergeCell ref="G42:I42"/>
    <mergeCell ref="J42:K42"/>
    <mergeCell ref="O42:P42"/>
    <mergeCell ref="Q42:S42"/>
    <mergeCell ref="Z42:AA42"/>
    <mergeCell ref="AB42:AC42"/>
    <mergeCell ref="G41:H41"/>
    <mergeCell ref="J41:K41"/>
    <mergeCell ref="O41:P41"/>
  </mergeCells>
  <pageMargins left="0.7" right="0.7" top="0.75" bottom="0.75" header="0.3" footer="0.3"/>
  <pageSetup paperSize="9" scale="8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6"/>
  <sheetViews>
    <sheetView zoomScale="89" zoomScaleNormal="89" workbookViewId="0">
      <selection activeCell="B26" sqref="B26"/>
    </sheetView>
  </sheetViews>
  <sheetFormatPr baseColWidth="10" defaultRowHeight="14.25" x14ac:dyDescent="0.2"/>
  <cols>
    <col min="1" max="1" width="4.85546875" style="73" customWidth="1"/>
    <col min="2" max="2" width="15.140625" style="73" customWidth="1"/>
    <col min="3" max="3" width="10.42578125" style="78" customWidth="1"/>
    <col min="4" max="4" width="10.7109375" style="73" customWidth="1"/>
    <col min="5" max="5" width="5.42578125" style="76" customWidth="1"/>
    <col min="6" max="6" width="4.85546875" style="76" customWidth="1"/>
    <col min="7" max="7" width="11.42578125" style="76" customWidth="1"/>
    <col min="8" max="8" width="12.28515625" style="76" customWidth="1"/>
    <col min="9" max="9" width="16.85546875" style="76" customWidth="1"/>
    <col min="10" max="10" width="10.5703125" style="76" customWidth="1"/>
    <col min="11" max="11" width="17.42578125" style="76" customWidth="1"/>
    <col min="12" max="12" width="15" style="76" customWidth="1"/>
    <col min="13" max="13" width="6.5703125" style="76" customWidth="1"/>
    <col min="14" max="14" width="12.85546875" style="76" customWidth="1"/>
    <col min="15" max="15" width="8.7109375" style="76" customWidth="1"/>
    <col min="16" max="16" width="13.140625" style="76" bestFit="1" customWidth="1"/>
    <col min="17" max="17" width="8.140625" style="76" customWidth="1"/>
    <col min="18" max="18" width="6.85546875" style="76" customWidth="1"/>
    <col min="19" max="19" width="11.140625" style="76" customWidth="1"/>
    <col min="20" max="20" width="13.140625" style="76" bestFit="1" customWidth="1"/>
    <col min="21" max="21" width="7" style="76" customWidth="1"/>
    <col min="22" max="22" width="13.7109375" style="76" bestFit="1" customWidth="1"/>
    <col min="23" max="23" width="7.42578125" style="76" customWidth="1"/>
    <col min="24" max="24" width="11.7109375" style="76" bestFit="1" customWidth="1"/>
    <col min="25" max="25" width="6.85546875" style="76" customWidth="1"/>
    <col min="26" max="26" width="13.140625" style="76" bestFit="1" customWidth="1"/>
    <col min="27" max="27" width="4.5703125" style="76" customWidth="1"/>
    <col min="28" max="28" width="13.140625" style="76" bestFit="1" customWidth="1"/>
    <col min="29" max="29" width="7" style="76" customWidth="1"/>
    <col min="30" max="30" width="13.140625" style="76" bestFit="1" customWidth="1"/>
    <col min="31" max="31" width="5.5703125" style="76" customWidth="1"/>
    <col min="32" max="32" width="11.7109375" style="76" bestFit="1" customWidth="1"/>
    <col min="33" max="33" width="6.42578125" style="76" customWidth="1"/>
    <col min="34" max="34" width="11.7109375" style="76" bestFit="1" customWidth="1"/>
    <col min="35" max="35" width="6.85546875" style="76" customWidth="1"/>
    <col min="36" max="36" width="11.7109375" style="76" bestFit="1" customWidth="1"/>
    <col min="37" max="37" width="6.85546875" style="76" customWidth="1"/>
    <col min="38" max="38" width="13.140625" style="76" bestFit="1" customWidth="1"/>
    <col min="39" max="39" width="6.85546875" style="76" customWidth="1"/>
    <col min="40" max="40" width="11.7109375" style="76" bestFit="1" customWidth="1"/>
    <col min="41" max="41" width="7" style="76" customWidth="1"/>
    <col min="42" max="42" width="11.7109375" style="76" bestFit="1" customWidth="1"/>
    <col min="43" max="43" width="13.42578125" style="76" customWidth="1"/>
    <col min="44" max="45" width="13.140625" style="76" bestFit="1" customWidth="1"/>
    <col min="46" max="46" width="16.140625" style="76" customWidth="1"/>
    <col min="47" max="47" width="13" style="76" customWidth="1"/>
    <col min="48" max="48" width="13.42578125" style="76" customWidth="1"/>
    <col min="49" max="49" width="13.140625" style="76" bestFit="1" customWidth="1"/>
    <col min="50" max="50" width="10.28515625" style="76" customWidth="1"/>
    <col min="51" max="51" width="16.5703125" style="76" customWidth="1"/>
    <col min="52" max="52" width="17.140625" style="76" bestFit="1" customWidth="1"/>
    <col min="53" max="16384" width="11.42578125" style="76"/>
  </cols>
  <sheetData>
    <row r="1" spans="1:69" ht="59.25" x14ac:dyDescent="0.2">
      <c r="A1" s="278" t="s">
        <v>182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278"/>
      <c r="AR1" s="278"/>
      <c r="AS1" s="278"/>
      <c r="AT1" s="278"/>
      <c r="AU1" s="278"/>
      <c r="AV1" s="278"/>
      <c r="AW1" s="278"/>
      <c r="AX1" s="278"/>
      <c r="AY1" s="278"/>
      <c r="AZ1" s="278"/>
    </row>
    <row r="3" spans="1:69" ht="15" thickBot="1" x14ac:dyDescent="0.25">
      <c r="C3" s="100" t="s">
        <v>78</v>
      </c>
      <c r="D3" s="74">
        <v>644350</v>
      </c>
      <c r="E3" s="75"/>
      <c r="F3" s="75"/>
      <c r="H3" s="276" t="s">
        <v>186</v>
      </c>
      <c r="I3" s="276"/>
      <c r="J3" s="277"/>
      <c r="K3" s="77">
        <v>74000</v>
      </c>
    </row>
    <row r="4" spans="1:69" s="133" customFormat="1" ht="27" customHeight="1" x14ac:dyDescent="0.3">
      <c r="A4" s="281" t="s">
        <v>79</v>
      </c>
      <c r="B4" s="282"/>
      <c r="C4" s="282"/>
      <c r="D4" s="283"/>
      <c r="E4" s="141"/>
      <c r="F4" s="141"/>
      <c r="G4" s="141"/>
      <c r="H4" s="141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4"/>
      <c r="AD4" s="284"/>
      <c r="AE4" s="284"/>
      <c r="AF4" s="284"/>
      <c r="AG4" s="284"/>
      <c r="AH4" s="284"/>
      <c r="AI4" s="284"/>
      <c r="AJ4" s="284"/>
      <c r="AK4" s="284"/>
      <c r="AL4" s="284"/>
      <c r="AM4" s="284"/>
      <c r="AN4" s="284"/>
      <c r="AO4" s="284"/>
      <c r="AP4" s="284"/>
      <c r="AQ4" s="284"/>
      <c r="AR4" s="284"/>
      <c r="AS4" s="284"/>
      <c r="AT4" s="284"/>
      <c r="AU4" s="284" t="s">
        <v>80</v>
      </c>
      <c r="AV4" s="284"/>
      <c r="AW4" s="284"/>
      <c r="AX4" s="284"/>
      <c r="AY4" s="284"/>
      <c r="AZ4" s="142" t="s">
        <v>81</v>
      </c>
      <c r="BA4" s="131"/>
      <c r="BB4" s="131"/>
      <c r="BC4" s="131"/>
      <c r="BD4" s="131"/>
      <c r="BE4" s="132"/>
    </row>
    <row r="5" spans="1:69" s="136" customFormat="1" ht="44.25" customHeight="1" x14ac:dyDescent="0.2">
      <c r="A5" s="279" t="s">
        <v>82</v>
      </c>
      <c r="B5" s="279" t="s">
        <v>83</v>
      </c>
      <c r="C5" s="279" t="s">
        <v>84</v>
      </c>
      <c r="D5" s="279" t="s">
        <v>85</v>
      </c>
      <c r="E5" s="287" t="s">
        <v>86</v>
      </c>
      <c r="F5" s="288"/>
      <c r="G5" s="279" t="s">
        <v>87</v>
      </c>
      <c r="H5" s="279" t="s">
        <v>88</v>
      </c>
      <c r="I5" s="279" t="s">
        <v>185</v>
      </c>
      <c r="J5" s="279" t="s">
        <v>89</v>
      </c>
      <c r="K5" s="279" t="s">
        <v>183</v>
      </c>
      <c r="L5" s="279" t="s">
        <v>90</v>
      </c>
      <c r="M5" s="279" t="s">
        <v>184</v>
      </c>
      <c r="N5" s="279" t="s">
        <v>91</v>
      </c>
      <c r="O5" s="279" t="s">
        <v>92</v>
      </c>
      <c r="P5" s="279" t="s">
        <v>93</v>
      </c>
      <c r="Q5" s="279" t="s">
        <v>94</v>
      </c>
      <c r="R5" s="279" t="s">
        <v>95</v>
      </c>
      <c r="S5" s="279" t="s">
        <v>96</v>
      </c>
      <c r="T5" s="279" t="s">
        <v>97</v>
      </c>
      <c r="U5" s="279" t="s">
        <v>98</v>
      </c>
      <c r="V5" s="279" t="s">
        <v>99</v>
      </c>
      <c r="W5" s="279" t="s">
        <v>100</v>
      </c>
      <c r="X5" s="279" t="s">
        <v>101</v>
      </c>
      <c r="Y5" s="279" t="s">
        <v>102</v>
      </c>
      <c r="Z5" s="279" t="s">
        <v>103</v>
      </c>
      <c r="AA5" s="285" t="s">
        <v>104</v>
      </c>
      <c r="AB5" s="143" t="s">
        <v>105</v>
      </c>
      <c r="AC5" s="279" t="s">
        <v>106</v>
      </c>
      <c r="AD5" s="143" t="s">
        <v>107</v>
      </c>
      <c r="AE5" s="279" t="s">
        <v>108</v>
      </c>
      <c r="AF5" s="143" t="s">
        <v>109</v>
      </c>
      <c r="AG5" s="279" t="s">
        <v>110</v>
      </c>
      <c r="AH5" s="143" t="s">
        <v>111</v>
      </c>
      <c r="AI5" s="279" t="s">
        <v>112</v>
      </c>
      <c r="AJ5" s="143" t="s">
        <v>113</v>
      </c>
      <c r="AK5" s="279" t="s">
        <v>114</v>
      </c>
      <c r="AL5" s="143" t="s">
        <v>115</v>
      </c>
      <c r="AM5" s="279" t="s">
        <v>116</v>
      </c>
      <c r="AN5" s="143" t="s">
        <v>117</v>
      </c>
      <c r="AO5" s="279" t="s">
        <v>118</v>
      </c>
      <c r="AP5" s="143" t="s">
        <v>119</v>
      </c>
      <c r="AQ5" s="279" t="s">
        <v>120</v>
      </c>
      <c r="AR5" s="279" t="s">
        <v>121</v>
      </c>
      <c r="AS5" s="279" t="s">
        <v>122</v>
      </c>
      <c r="AT5" s="279" t="s">
        <v>123</v>
      </c>
      <c r="AU5" s="143" t="s">
        <v>124</v>
      </c>
      <c r="AV5" s="143" t="s">
        <v>125</v>
      </c>
      <c r="AW5" s="279" t="s">
        <v>126</v>
      </c>
      <c r="AX5" s="279" t="s">
        <v>127</v>
      </c>
      <c r="AY5" s="279" t="s">
        <v>128</v>
      </c>
      <c r="AZ5" s="279" t="s">
        <v>129</v>
      </c>
      <c r="BA5" s="134"/>
      <c r="BB5" s="134"/>
      <c r="BC5" s="134"/>
      <c r="BD5" s="134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</row>
    <row r="6" spans="1:69" s="139" customFormat="1" ht="25.5" customHeight="1" x14ac:dyDescent="0.2">
      <c r="A6" s="280"/>
      <c r="B6" s="280"/>
      <c r="C6" s="280"/>
      <c r="D6" s="280"/>
      <c r="E6" s="144" t="s">
        <v>130</v>
      </c>
      <c r="F6" s="144" t="s">
        <v>131</v>
      </c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6"/>
      <c r="AB6" s="145">
        <v>1</v>
      </c>
      <c r="AC6" s="280"/>
      <c r="AD6" s="145">
        <v>0.35</v>
      </c>
      <c r="AE6" s="280"/>
      <c r="AF6" s="145">
        <v>0.75</v>
      </c>
      <c r="AG6" s="280"/>
      <c r="AH6" s="145">
        <v>1.25</v>
      </c>
      <c r="AI6" s="280"/>
      <c r="AJ6" s="145">
        <v>1.75</v>
      </c>
      <c r="AK6" s="280"/>
      <c r="AL6" s="145">
        <v>2</v>
      </c>
      <c r="AM6" s="280"/>
      <c r="AN6" s="145">
        <v>2.5</v>
      </c>
      <c r="AO6" s="280"/>
      <c r="AP6" s="145">
        <v>1.1000000000000001</v>
      </c>
      <c r="AQ6" s="280"/>
      <c r="AR6" s="280"/>
      <c r="AS6" s="280"/>
      <c r="AT6" s="280"/>
      <c r="AU6" s="145">
        <v>0.04</v>
      </c>
      <c r="AV6" s="145">
        <v>0.04</v>
      </c>
      <c r="AW6" s="280"/>
      <c r="AX6" s="280"/>
      <c r="AY6" s="280"/>
      <c r="AZ6" s="280"/>
      <c r="BA6" s="137"/>
      <c r="BB6" s="137"/>
      <c r="BC6" s="137"/>
      <c r="BD6" s="137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</row>
    <row r="7" spans="1:69" ht="42.75" x14ac:dyDescent="0.2">
      <c r="A7" s="79">
        <v>1</v>
      </c>
      <c r="B7" s="80">
        <v>22028361</v>
      </c>
      <c r="C7" s="101" t="s">
        <v>43</v>
      </c>
      <c r="D7" s="96" t="s">
        <v>66</v>
      </c>
      <c r="E7" s="106"/>
      <c r="F7" s="106" t="s">
        <v>160</v>
      </c>
      <c r="G7" s="81">
        <v>41942</v>
      </c>
      <c r="H7" s="102" t="s">
        <v>161</v>
      </c>
      <c r="I7" s="126">
        <v>808273</v>
      </c>
      <c r="J7" s="215">
        <v>30</v>
      </c>
      <c r="K7" s="126">
        <f>(I7*J7)/30</f>
        <v>808273</v>
      </c>
      <c r="L7" s="216">
        <f>IF(I7&lt;=644350*2,(74000*J7)/30,0)</f>
        <v>74000</v>
      </c>
      <c r="M7" s="83"/>
      <c r="N7" s="216">
        <f t="shared" ref="N7:N28" si="0">+I7*M7/30</f>
        <v>0</v>
      </c>
      <c r="O7" s="83"/>
      <c r="P7" s="217">
        <f>+I7*O7/30</f>
        <v>0</v>
      </c>
      <c r="Q7" s="83"/>
      <c r="R7" s="83"/>
      <c r="S7" s="83"/>
      <c r="T7" s="216">
        <f>+I7*S7/720</f>
        <v>0</v>
      </c>
      <c r="U7" s="83"/>
      <c r="V7" s="216">
        <f t="shared" ref="V7:V28" si="1">+I7*U7/30</f>
        <v>0</v>
      </c>
      <c r="W7" s="83"/>
      <c r="X7" s="216">
        <f t="shared" ref="X7:X28" si="2">(I7*W7)/30</f>
        <v>0</v>
      </c>
      <c r="Y7" s="83"/>
      <c r="Z7" s="216">
        <f t="shared" ref="Z7:Z28" si="3">(I7*Y7)/30</f>
        <v>0</v>
      </c>
      <c r="AA7" s="84">
        <v>1</v>
      </c>
      <c r="AB7" s="216">
        <f>+I7/240</f>
        <v>3367.8041666666668</v>
      </c>
      <c r="AC7" s="83"/>
      <c r="AD7" s="216">
        <f t="shared" ref="AD7:AD28" si="4">(I7*0.35)*AC7/240</f>
        <v>0</v>
      </c>
      <c r="AE7" s="83"/>
      <c r="AF7" s="216">
        <f t="shared" ref="AF7:AF28" si="5">(I7*0.75)*AE7/240</f>
        <v>0</v>
      </c>
      <c r="AG7" s="83"/>
      <c r="AH7" s="216">
        <f t="shared" ref="AH7:AH28" si="6">(I7*1.25)*AG7/240</f>
        <v>0</v>
      </c>
      <c r="AI7" s="83"/>
      <c r="AJ7" s="216">
        <f t="shared" ref="AJ7:AJ28" si="7">(I7*1.75)*AI7/240</f>
        <v>0</v>
      </c>
      <c r="AK7" s="83">
        <v>3</v>
      </c>
      <c r="AL7" s="216">
        <f t="shared" ref="AL7:AL28" si="8">(I7*2)*AK7/240</f>
        <v>20206.825000000001</v>
      </c>
      <c r="AM7" s="83"/>
      <c r="AN7" s="216">
        <f t="shared" ref="AN7:AN28" si="9">(I7*2.5)*AM7/240</f>
        <v>0</v>
      </c>
      <c r="AO7" s="83"/>
      <c r="AP7" s="216">
        <f t="shared" ref="AP7:AP28" si="10">(I7*1.1)*AO7/240</f>
        <v>0</v>
      </c>
      <c r="AQ7" s="85">
        <v>350000</v>
      </c>
      <c r="AR7" s="85"/>
      <c r="AS7" s="85"/>
      <c r="AT7" s="153">
        <f t="shared" ref="AT7:AT28" si="11">+K7+L7+N7+P7+T7+V7+X7+Z7+AD7+AF7+AH7+AJ7+AL7+AN7+AP7+AQ7+AR7+AS7</f>
        <v>1252479.825</v>
      </c>
      <c r="AU7" s="216">
        <f t="shared" ref="AU7:AU28" si="12">(AT7-L7)*4%</f>
        <v>47139.192999999999</v>
      </c>
      <c r="AV7" s="216">
        <f t="shared" ref="AV7:AV28" si="13">(AT7-L7)*4%</f>
        <v>47139.192999999999</v>
      </c>
      <c r="AW7" s="87"/>
      <c r="AX7" s="216">
        <f t="shared" ref="AX7:AX28" si="14">IF(AT7&gt;=644350*4,I7*1%,0)</f>
        <v>0</v>
      </c>
      <c r="AY7" s="216">
        <f t="shared" ref="AY7:AY28" si="15">+AU7+AV7+AW7+AX7</f>
        <v>94278.385999999999</v>
      </c>
      <c r="AZ7" s="218">
        <f t="shared" ref="AZ7:AZ28" si="16">+AT7-AY7</f>
        <v>1158201.439</v>
      </c>
      <c r="BA7" s="88"/>
      <c r="BB7" s="88"/>
      <c r="BC7" s="88"/>
      <c r="BD7" s="88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</row>
    <row r="8" spans="1:69" ht="28.5" x14ac:dyDescent="0.2">
      <c r="A8" s="90">
        <v>2</v>
      </c>
      <c r="B8" s="91">
        <v>101251028</v>
      </c>
      <c r="C8" s="101" t="s">
        <v>44</v>
      </c>
      <c r="D8" s="96" t="s">
        <v>67</v>
      </c>
      <c r="E8" s="107"/>
      <c r="F8" s="107" t="s">
        <v>160</v>
      </c>
      <c r="G8" s="81">
        <v>40952</v>
      </c>
      <c r="H8" s="102" t="s">
        <v>161</v>
      </c>
      <c r="I8" s="126">
        <v>644350</v>
      </c>
      <c r="J8" s="215">
        <v>22</v>
      </c>
      <c r="K8" s="126">
        <f t="shared" ref="K8:K28" si="17">(I8*J8)/30</f>
        <v>472523.33333333331</v>
      </c>
      <c r="L8" s="216">
        <f t="shared" ref="L8:L28" si="18">IF(I8&lt;=644350*2,(74000*J8)/30,0)</f>
        <v>54266.666666666664</v>
      </c>
      <c r="M8" s="83">
        <v>8</v>
      </c>
      <c r="N8" s="216">
        <f t="shared" si="0"/>
        <v>171826.66666666666</v>
      </c>
      <c r="O8" s="83"/>
      <c r="P8" s="217">
        <f t="shared" ref="P8:P28" si="19">+I8*O8/30</f>
        <v>0</v>
      </c>
      <c r="Q8" s="83"/>
      <c r="R8" s="83"/>
      <c r="S8" s="83"/>
      <c r="T8" s="216">
        <f>+I8*S8/720</f>
        <v>0</v>
      </c>
      <c r="U8" s="83"/>
      <c r="V8" s="216">
        <f t="shared" si="1"/>
        <v>0</v>
      </c>
      <c r="W8" s="83"/>
      <c r="X8" s="216">
        <f t="shared" si="2"/>
        <v>0</v>
      </c>
      <c r="Y8" s="83"/>
      <c r="Z8" s="216">
        <f t="shared" si="3"/>
        <v>0</v>
      </c>
      <c r="AA8" s="84">
        <v>1</v>
      </c>
      <c r="AB8" s="216">
        <f t="shared" ref="AB8:AB28" si="20">+I8/240</f>
        <v>2684.7916666666665</v>
      </c>
      <c r="AC8" s="83">
        <v>8</v>
      </c>
      <c r="AD8" s="216">
        <f t="shared" si="4"/>
        <v>7517.416666666667</v>
      </c>
      <c r="AE8" s="83"/>
      <c r="AF8" s="216">
        <f t="shared" si="5"/>
        <v>0</v>
      </c>
      <c r="AG8" s="83"/>
      <c r="AH8" s="216">
        <f t="shared" si="6"/>
        <v>0</v>
      </c>
      <c r="AI8" s="83"/>
      <c r="AJ8" s="216">
        <f t="shared" si="7"/>
        <v>0</v>
      </c>
      <c r="AK8" s="83">
        <v>4</v>
      </c>
      <c r="AL8" s="216">
        <f t="shared" si="8"/>
        <v>21478.333333333332</v>
      </c>
      <c r="AM8" s="83">
        <v>2</v>
      </c>
      <c r="AN8" s="216">
        <f t="shared" si="9"/>
        <v>13423.958333333334</v>
      </c>
      <c r="AO8" s="83"/>
      <c r="AP8" s="216">
        <f t="shared" si="10"/>
        <v>0</v>
      </c>
      <c r="AQ8" s="94"/>
      <c r="AR8" s="94"/>
      <c r="AS8" s="94"/>
      <c r="AT8" s="153">
        <f t="shared" si="11"/>
        <v>741036.375</v>
      </c>
      <c r="AU8" s="216">
        <f t="shared" si="12"/>
        <v>27470.788333333334</v>
      </c>
      <c r="AV8" s="216">
        <f t="shared" si="13"/>
        <v>27470.788333333334</v>
      </c>
      <c r="AW8" s="87"/>
      <c r="AX8" s="216">
        <f t="shared" si="14"/>
        <v>0</v>
      </c>
      <c r="AY8" s="216">
        <f t="shared" si="15"/>
        <v>54941.576666666668</v>
      </c>
      <c r="AZ8" s="218">
        <f t="shared" si="16"/>
        <v>686094.79833333334</v>
      </c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</row>
    <row r="9" spans="1:69" ht="28.5" x14ac:dyDescent="0.2">
      <c r="A9" s="90">
        <v>3</v>
      </c>
      <c r="B9" s="91">
        <v>70558175</v>
      </c>
      <c r="C9" s="101" t="s">
        <v>45</v>
      </c>
      <c r="D9" s="96" t="s">
        <v>65</v>
      </c>
      <c r="E9" s="107" t="s">
        <v>160</v>
      </c>
      <c r="F9" s="107"/>
      <c r="G9" s="81">
        <v>40952</v>
      </c>
      <c r="H9" s="102" t="s">
        <v>161</v>
      </c>
      <c r="I9" s="126">
        <v>905265</v>
      </c>
      <c r="J9" s="215">
        <v>30</v>
      </c>
      <c r="K9" s="126">
        <f t="shared" si="17"/>
        <v>905265</v>
      </c>
      <c r="L9" s="216">
        <f t="shared" si="18"/>
        <v>74000</v>
      </c>
      <c r="M9" s="83"/>
      <c r="N9" s="216">
        <f t="shared" si="0"/>
        <v>0</v>
      </c>
      <c r="O9" s="83"/>
      <c r="P9" s="217">
        <f t="shared" si="19"/>
        <v>0</v>
      </c>
      <c r="Q9" s="83"/>
      <c r="R9" s="83"/>
      <c r="S9" s="83"/>
      <c r="T9" s="216">
        <f>+I9*S9/720</f>
        <v>0</v>
      </c>
      <c r="U9" s="83"/>
      <c r="V9" s="216">
        <f t="shared" si="1"/>
        <v>0</v>
      </c>
      <c r="W9" s="83"/>
      <c r="X9" s="216">
        <f t="shared" si="2"/>
        <v>0</v>
      </c>
      <c r="Y9" s="83"/>
      <c r="Z9" s="216">
        <f t="shared" si="3"/>
        <v>0</v>
      </c>
      <c r="AA9" s="84">
        <v>1</v>
      </c>
      <c r="AB9" s="216">
        <f t="shared" si="20"/>
        <v>3771.9375</v>
      </c>
      <c r="AC9" s="83"/>
      <c r="AD9" s="216">
        <f t="shared" si="4"/>
        <v>0</v>
      </c>
      <c r="AE9" s="83"/>
      <c r="AF9" s="216">
        <f t="shared" si="5"/>
        <v>0</v>
      </c>
      <c r="AG9" s="83">
        <v>6</v>
      </c>
      <c r="AH9" s="216">
        <f t="shared" si="6"/>
        <v>28289.53125</v>
      </c>
      <c r="AI9" s="83"/>
      <c r="AJ9" s="216">
        <f t="shared" si="7"/>
        <v>0</v>
      </c>
      <c r="AK9" s="83"/>
      <c r="AL9" s="216">
        <f t="shared" si="8"/>
        <v>0</v>
      </c>
      <c r="AM9" s="83"/>
      <c r="AN9" s="216">
        <f t="shared" si="9"/>
        <v>0</v>
      </c>
      <c r="AO9" s="83"/>
      <c r="AP9" s="216">
        <f t="shared" si="10"/>
        <v>0</v>
      </c>
      <c r="AQ9" s="94"/>
      <c r="AR9" s="94"/>
      <c r="AS9" s="94"/>
      <c r="AT9" s="153">
        <f t="shared" si="11"/>
        <v>1007554.53125</v>
      </c>
      <c r="AU9" s="216">
        <f t="shared" si="12"/>
        <v>37342.181250000001</v>
      </c>
      <c r="AV9" s="216">
        <f t="shared" si="13"/>
        <v>37342.181250000001</v>
      </c>
      <c r="AW9" s="87"/>
      <c r="AX9" s="216">
        <f t="shared" si="14"/>
        <v>0</v>
      </c>
      <c r="AY9" s="216">
        <f t="shared" si="15"/>
        <v>74684.362500000003</v>
      </c>
      <c r="AZ9" s="218">
        <f t="shared" si="16"/>
        <v>932870.16874999995</v>
      </c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</row>
    <row r="10" spans="1:69" ht="28.5" x14ac:dyDescent="0.2">
      <c r="A10" s="90">
        <v>4</v>
      </c>
      <c r="B10" s="91">
        <v>101282027</v>
      </c>
      <c r="C10" s="101" t="s">
        <v>46</v>
      </c>
      <c r="D10" s="96" t="s">
        <v>68</v>
      </c>
      <c r="E10" s="107" t="s">
        <v>160</v>
      </c>
      <c r="F10" s="107"/>
      <c r="G10" s="81">
        <v>41919</v>
      </c>
      <c r="H10" s="102" t="s">
        <v>161</v>
      </c>
      <c r="I10" s="126">
        <v>721672</v>
      </c>
      <c r="J10" s="215">
        <v>15</v>
      </c>
      <c r="K10" s="126">
        <f t="shared" si="17"/>
        <v>360836</v>
      </c>
      <c r="L10" s="216">
        <f t="shared" si="18"/>
        <v>37000</v>
      </c>
      <c r="M10" s="83"/>
      <c r="N10" s="216">
        <f t="shared" si="0"/>
        <v>0</v>
      </c>
      <c r="O10" s="83"/>
      <c r="P10" s="217">
        <f t="shared" si="19"/>
        <v>0</v>
      </c>
      <c r="Q10" s="83"/>
      <c r="R10" s="83"/>
      <c r="S10" s="140">
        <v>15</v>
      </c>
      <c r="T10" s="216">
        <f>+(I10*360)/720</f>
        <v>360836</v>
      </c>
      <c r="U10" s="83"/>
      <c r="V10" s="216">
        <f t="shared" si="1"/>
        <v>0</v>
      </c>
      <c r="W10" s="83"/>
      <c r="X10" s="216">
        <f t="shared" si="2"/>
        <v>0</v>
      </c>
      <c r="Y10" s="83"/>
      <c r="Z10" s="216">
        <f t="shared" si="3"/>
        <v>0</v>
      </c>
      <c r="AA10" s="84">
        <v>1</v>
      </c>
      <c r="AB10" s="216">
        <f t="shared" si="20"/>
        <v>3006.9666666666667</v>
      </c>
      <c r="AC10" s="83">
        <v>10</v>
      </c>
      <c r="AD10" s="216">
        <f t="shared" si="4"/>
        <v>10524.383333333333</v>
      </c>
      <c r="AE10" s="83"/>
      <c r="AF10" s="216">
        <f t="shared" si="5"/>
        <v>0</v>
      </c>
      <c r="AG10" s="83"/>
      <c r="AH10" s="216">
        <f t="shared" si="6"/>
        <v>0</v>
      </c>
      <c r="AI10" s="83">
        <v>4</v>
      </c>
      <c r="AJ10" s="216">
        <f t="shared" si="7"/>
        <v>21048.766666666666</v>
      </c>
      <c r="AK10" s="83">
        <v>4</v>
      </c>
      <c r="AL10" s="216">
        <f t="shared" si="8"/>
        <v>24055.733333333334</v>
      </c>
      <c r="AM10" s="83">
        <v>2</v>
      </c>
      <c r="AN10" s="216">
        <f t="shared" si="9"/>
        <v>15034.833333333334</v>
      </c>
      <c r="AO10" s="83"/>
      <c r="AP10" s="216">
        <f t="shared" si="10"/>
        <v>0</v>
      </c>
      <c r="AQ10" s="94"/>
      <c r="AR10" s="94"/>
      <c r="AS10" s="94"/>
      <c r="AT10" s="153">
        <f t="shared" si="11"/>
        <v>829335.71666666667</v>
      </c>
      <c r="AU10" s="216">
        <f t="shared" si="12"/>
        <v>31693.428666666667</v>
      </c>
      <c r="AV10" s="216">
        <f t="shared" si="13"/>
        <v>31693.428666666667</v>
      </c>
      <c r="AW10" s="87">
        <v>300000</v>
      </c>
      <c r="AX10" s="216">
        <f t="shared" si="14"/>
        <v>0</v>
      </c>
      <c r="AY10" s="216">
        <f t="shared" si="15"/>
        <v>363386.85733333335</v>
      </c>
      <c r="AZ10" s="218">
        <f t="shared" si="16"/>
        <v>465948.85933333333</v>
      </c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</row>
    <row r="11" spans="1:69" ht="28.5" x14ac:dyDescent="0.2">
      <c r="A11" s="90">
        <v>5</v>
      </c>
      <c r="B11" s="91">
        <v>22030402</v>
      </c>
      <c r="C11" s="101" t="s">
        <v>47</v>
      </c>
      <c r="D11" s="96" t="s">
        <v>69</v>
      </c>
      <c r="E11" s="107" t="s">
        <v>160</v>
      </c>
      <c r="F11" s="107"/>
      <c r="G11" s="81">
        <v>41793</v>
      </c>
      <c r="H11" s="102" t="s">
        <v>161</v>
      </c>
      <c r="I11" s="126">
        <v>1135565</v>
      </c>
      <c r="J11" s="215">
        <v>30</v>
      </c>
      <c r="K11" s="126">
        <f t="shared" si="17"/>
        <v>1135565</v>
      </c>
      <c r="L11" s="216">
        <f t="shared" si="18"/>
        <v>74000</v>
      </c>
      <c r="M11" s="83"/>
      <c r="N11" s="216">
        <f t="shared" si="0"/>
        <v>0</v>
      </c>
      <c r="O11" s="83"/>
      <c r="P11" s="217">
        <f t="shared" si="19"/>
        <v>0</v>
      </c>
      <c r="Q11" s="83"/>
      <c r="R11" s="83"/>
      <c r="S11" s="140"/>
      <c r="T11" s="216">
        <f t="shared" ref="T11:T18" si="21">+I11*S11/720</f>
        <v>0</v>
      </c>
      <c r="U11" s="83"/>
      <c r="V11" s="216">
        <f t="shared" si="1"/>
        <v>0</v>
      </c>
      <c r="W11" s="83"/>
      <c r="X11" s="216">
        <f t="shared" si="2"/>
        <v>0</v>
      </c>
      <c r="Y11" s="83"/>
      <c r="Z11" s="216">
        <f t="shared" si="3"/>
        <v>0</v>
      </c>
      <c r="AA11" s="84">
        <v>1</v>
      </c>
      <c r="AB11" s="216">
        <f t="shared" si="20"/>
        <v>4731.520833333333</v>
      </c>
      <c r="AC11" s="83"/>
      <c r="AD11" s="216">
        <f t="shared" si="4"/>
        <v>0</v>
      </c>
      <c r="AE11" s="83"/>
      <c r="AF11" s="216">
        <f t="shared" si="5"/>
        <v>0</v>
      </c>
      <c r="AG11" s="83"/>
      <c r="AH11" s="216">
        <f t="shared" si="6"/>
        <v>0</v>
      </c>
      <c r="AI11" s="83"/>
      <c r="AJ11" s="216">
        <f t="shared" si="7"/>
        <v>0</v>
      </c>
      <c r="AK11" s="83">
        <v>3</v>
      </c>
      <c r="AL11" s="216">
        <f t="shared" si="8"/>
        <v>28389.125</v>
      </c>
      <c r="AM11" s="83"/>
      <c r="AN11" s="216">
        <f t="shared" si="9"/>
        <v>0</v>
      </c>
      <c r="AO11" s="83"/>
      <c r="AP11" s="216">
        <f t="shared" si="10"/>
        <v>0</v>
      </c>
      <c r="AQ11" s="94"/>
      <c r="AR11" s="94"/>
      <c r="AS11" s="94"/>
      <c r="AT11" s="153">
        <f t="shared" si="11"/>
        <v>1237954.125</v>
      </c>
      <c r="AU11" s="216">
        <f t="shared" si="12"/>
        <v>46558.165000000001</v>
      </c>
      <c r="AV11" s="216">
        <f t="shared" si="13"/>
        <v>46558.165000000001</v>
      </c>
      <c r="AW11" s="87"/>
      <c r="AX11" s="216">
        <f t="shared" si="14"/>
        <v>0</v>
      </c>
      <c r="AY11" s="216">
        <f t="shared" si="15"/>
        <v>93116.33</v>
      </c>
      <c r="AZ11" s="218">
        <f t="shared" si="16"/>
        <v>1144837.7949999999</v>
      </c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</row>
    <row r="12" spans="1:69" ht="28.5" x14ac:dyDescent="0.2">
      <c r="A12" s="90">
        <v>6</v>
      </c>
      <c r="B12" s="91">
        <v>70980698</v>
      </c>
      <c r="C12" s="101" t="s">
        <v>48</v>
      </c>
      <c r="D12" s="96" t="s">
        <v>66</v>
      </c>
      <c r="E12" s="107"/>
      <c r="F12" s="107" t="s">
        <v>160</v>
      </c>
      <c r="G12" s="81">
        <v>41947</v>
      </c>
      <c r="H12" s="102" t="s">
        <v>161</v>
      </c>
      <c r="I12" s="126">
        <v>808273</v>
      </c>
      <c r="J12" s="215">
        <v>5</v>
      </c>
      <c r="K12" s="126">
        <f t="shared" si="17"/>
        <v>134712.16666666666</v>
      </c>
      <c r="L12" s="216">
        <f t="shared" si="18"/>
        <v>12333.333333333334</v>
      </c>
      <c r="M12" s="83"/>
      <c r="N12" s="216">
        <f t="shared" si="0"/>
        <v>0</v>
      </c>
      <c r="O12" s="83">
        <v>25</v>
      </c>
      <c r="P12" s="217">
        <f t="shared" si="19"/>
        <v>673560.83333333337</v>
      </c>
      <c r="Q12" s="83"/>
      <c r="R12" s="83"/>
      <c r="S12" s="83"/>
      <c r="T12" s="216">
        <f t="shared" si="21"/>
        <v>0</v>
      </c>
      <c r="U12" s="83"/>
      <c r="V12" s="216">
        <f t="shared" si="1"/>
        <v>0</v>
      </c>
      <c r="W12" s="83"/>
      <c r="X12" s="216">
        <f t="shared" si="2"/>
        <v>0</v>
      </c>
      <c r="Y12" s="83"/>
      <c r="Z12" s="216">
        <f t="shared" si="3"/>
        <v>0</v>
      </c>
      <c r="AA12" s="84">
        <v>1</v>
      </c>
      <c r="AB12" s="216">
        <f t="shared" si="20"/>
        <v>3367.8041666666668</v>
      </c>
      <c r="AC12" s="83"/>
      <c r="AD12" s="216">
        <f t="shared" si="4"/>
        <v>0</v>
      </c>
      <c r="AE12" s="83"/>
      <c r="AF12" s="216">
        <f t="shared" si="5"/>
        <v>0</v>
      </c>
      <c r="AG12" s="83">
        <v>6</v>
      </c>
      <c r="AH12" s="216">
        <f t="shared" si="6"/>
        <v>25258.53125</v>
      </c>
      <c r="AI12" s="83"/>
      <c r="AJ12" s="216">
        <f t="shared" si="7"/>
        <v>0</v>
      </c>
      <c r="AK12" s="83">
        <v>2</v>
      </c>
      <c r="AL12" s="216">
        <f t="shared" si="8"/>
        <v>13471.216666666667</v>
      </c>
      <c r="AM12" s="83"/>
      <c r="AN12" s="216">
        <f t="shared" si="9"/>
        <v>0</v>
      </c>
      <c r="AO12" s="83"/>
      <c r="AP12" s="216">
        <f t="shared" si="10"/>
        <v>0</v>
      </c>
      <c r="AQ12" s="94"/>
      <c r="AR12" s="94"/>
      <c r="AS12" s="94"/>
      <c r="AT12" s="153">
        <f t="shared" si="11"/>
        <v>859336.08125000005</v>
      </c>
      <c r="AU12" s="216">
        <f t="shared" si="12"/>
        <v>33880.109916666668</v>
      </c>
      <c r="AV12" s="216">
        <f t="shared" si="13"/>
        <v>33880.109916666668</v>
      </c>
      <c r="AW12" s="87"/>
      <c r="AX12" s="216">
        <f t="shared" si="14"/>
        <v>0</v>
      </c>
      <c r="AY12" s="216">
        <f t="shared" si="15"/>
        <v>67760.219833333336</v>
      </c>
      <c r="AZ12" s="218">
        <f t="shared" si="16"/>
        <v>791575.86141666677</v>
      </c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</row>
    <row r="13" spans="1:69" ht="57" x14ac:dyDescent="0.2">
      <c r="A13" s="90">
        <v>7</v>
      </c>
      <c r="B13" s="91">
        <v>22050675</v>
      </c>
      <c r="C13" s="101" t="s">
        <v>49</v>
      </c>
      <c r="D13" s="96" t="s">
        <v>72</v>
      </c>
      <c r="E13" s="107" t="s">
        <v>160</v>
      </c>
      <c r="F13" s="107"/>
      <c r="G13" s="81">
        <v>42317</v>
      </c>
      <c r="H13" s="102" t="s">
        <v>161</v>
      </c>
      <c r="I13" s="126">
        <v>1013897</v>
      </c>
      <c r="J13" s="215">
        <v>26</v>
      </c>
      <c r="K13" s="126">
        <f t="shared" si="17"/>
        <v>878710.73333333328</v>
      </c>
      <c r="L13" s="216">
        <f t="shared" si="18"/>
        <v>64133.333333333336</v>
      </c>
      <c r="M13" s="83">
        <v>4</v>
      </c>
      <c r="N13" s="216">
        <f t="shared" si="0"/>
        <v>135186.26666666666</v>
      </c>
      <c r="O13" s="83"/>
      <c r="P13" s="217">
        <f t="shared" si="19"/>
        <v>0</v>
      </c>
      <c r="Q13" s="83"/>
      <c r="R13" s="83"/>
      <c r="S13" s="83"/>
      <c r="T13" s="216">
        <f t="shared" si="21"/>
        <v>0</v>
      </c>
      <c r="U13" s="83"/>
      <c r="V13" s="216">
        <f t="shared" si="1"/>
        <v>0</v>
      </c>
      <c r="W13" s="83"/>
      <c r="X13" s="216">
        <f t="shared" si="2"/>
        <v>0</v>
      </c>
      <c r="Y13" s="83"/>
      <c r="Z13" s="216">
        <f t="shared" si="3"/>
        <v>0</v>
      </c>
      <c r="AA13" s="84">
        <v>1</v>
      </c>
      <c r="AB13" s="216">
        <f t="shared" si="20"/>
        <v>4224.5708333333332</v>
      </c>
      <c r="AC13" s="83"/>
      <c r="AD13" s="216">
        <f t="shared" si="4"/>
        <v>0</v>
      </c>
      <c r="AE13" s="83"/>
      <c r="AF13" s="216">
        <f t="shared" si="5"/>
        <v>0</v>
      </c>
      <c r="AG13" s="83"/>
      <c r="AH13" s="216">
        <f t="shared" si="6"/>
        <v>0</v>
      </c>
      <c r="AI13" s="83"/>
      <c r="AJ13" s="216">
        <f t="shared" si="7"/>
        <v>0</v>
      </c>
      <c r="AK13" s="83">
        <v>3</v>
      </c>
      <c r="AL13" s="216">
        <f t="shared" si="8"/>
        <v>25347.424999999999</v>
      </c>
      <c r="AM13" s="83"/>
      <c r="AN13" s="216">
        <f t="shared" si="9"/>
        <v>0</v>
      </c>
      <c r="AO13" s="83"/>
      <c r="AP13" s="216">
        <f t="shared" si="10"/>
        <v>0</v>
      </c>
      <c r="AQ13" s="94"/>
      <c r="AR13" s="94"/>
      <c r="AS13" s="94">
        <v>420000</v>
      </c>
      <c r="AT13" s="153">
        <f t="shared" si="11"/>
        <v>1523377.7583333333</v>
      </c>
      <c r="AU13" s="216">
        <f t="shared" si="12"/>
        <v>58369.777000000002</v>
      </c>
      <c r="AV13" s="216">
        <f t="shared" si="13"/>
        <v>58369.777000000002</v>
      </c>
      <c r="AW13" s="87"/>
      <c r="AX13" s="216">
        <f t="shared" si="14"/>
        <v>0</v>
      </c>
      <c r="AY13" s="216">
        <f t="shared" si="15"/>
        <v>116739.554</v>
      </c>
      <c r="AZ13" s="218">
        <f t="shared" si="16"/>
        <v>1406638.2043333333</v>
      </c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</row>
    <row r="14" spans="1:69" ht="28.5" x14ac:dyDescent="0.2">
      <c r="A14" s="90">
        <v>8</v>
      </c>
      <c r="B14" s="91">
        <v>43760895</v>
      </c>
      <c r="C14" s="101" t="s">
        <v>50</v>
      </c>
      <c r="D14" s="96" t="s">
        <v>73</v>
      </c>
      <c r="E14" s="107"/>
      <c r="F14" s="107" t="s">
        <v>160</v>
      </c>
      <c r="G14" s="81">
        <v>40952</v>
      </c>
      <c r="H14" s="102" t="s">
        <v>161</v>
      </c>
      <c r="I14" s="126">
        <v>644350</v>
      </c>
      <c r="J14" s="215">
        <v>26</v>
      </c>
      <c r="K14" s="126">
        <f t="shared" si="17"/>
        <v>558436.66666666663</v>
      </c>
      <c r="L14" s="216">
        <f t="shared" si="18"/>
        <v>64133.333333333336</v>
      </c>
      <c r="M14" s="83"/>
      <c r="N14" s="216">
        <f t="shared" si="0"/>
        <v>0</v>
      </c>
      <c r="O14" s="83"/>
      <c r="P14" s="217">
        <f t="shared" si="19"/>
        <v>0</v>
      </c>
      <c r="Q14" s="83"/>
      <c r="R14" s="83"/>
      <c r="S14" s="83"/>
      <c r="T14" s="216">
        <f t="shared" si="21"/>
        <v>0</v>
      </c>
      <c r="U14" s="154">
        <v>5</v>
      </c>
      <c r="V14" s="216">
        <f t="shared" si="1"/>
        <v>107391.66666666667</v>
      </c>
      <c r="W14" s="83"/>
      <c r="X14" s="216">
        <f t="shared" si="2"/>
        <v>0</v>
      </c>
      <c r="Y14" s="83"/>
      <c r="Z14" s="216">
        <f t="shared" si="3"/>
        <v>0</v>
      </c>
      <c r="AA14" s="84">
        <v>1</v>
      </c>
      <c r="AB14" s="216">
        <f t="shared" si="20"/>
        <v>2684.7916666666665</v>
      </c>
      <c r="AC14" s="83">
        <v>6</v>
      </c>
      <c r="AD14" s="216">
        <f t="shared" si="4"/>
        <v>5638.0625</v>
      </c>
      <c r="AE14" s="83"/>
      <c r="AF14" s="216">
        <f t="shared" si="5"/>
        <v>0</v>
      </c>
      <c r="AG14" s="83"/>
      <c r="AH14" s="216">
        <f t="shared" si="6"/>
        <v>0</v>
      </c>
      <c r="AI14" s="83"/>
      <c r="AJ14" s="216">
        <f t="shared" si="7"/>
        <v>0</v>
      </c>
      <c r="AK14" s="83"/>
      <c r="AL14" s="216">
        <f t="shared" si="8"/>
        <v>0</v>
      </c>
      <c r="AM14" s="83"/>
      <c r="AN14" s="216">
        <f t="shared" si="9"/>
        <v>0</v>
      </c>
      <c r="AO14" s="83"/>
      <c r="AP14" s="216">
        <f t="shared" si="10"/>
        <v>0</v>
      </c>
      <c r="AQ14" s="94"/>
      <c r="AR14" s="94"/>
      <c r="AS14" s="94"/>
      <c r="AT14" s="153">
        <f t="shared" si="11"/>
        <v>735599.72916666663</v>
      </c>
      <c r="AU14" s="216">
        <f t="shared" si="12"/>
        <v>26858.655833333331</v>
      </c>
      <c r="AV14" s="216">
        <f t="shared" si="13"/>
        <v>26858.655833333331</v>
      </c>
      <c r="AW14" s="87"/>
      <c r="AX14" s="216">
        <f t="shared" si="14"/>
        <v>0</v>
      </c>
      <c r="AY14" s="216">
        <f t="shared" si="15"/>
        <v>53717.311666666661</v>
      </c>
      <c r="AZ14" s="218">
        <f t="shared" si="16"/>
        <v>681882.41749999998</v>
      </c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</row>
    <row r="15" spans="1:69" ht="28.5" x14ac:dyDescent="0.2">
      <c r="A15" s="90">
        <v>9</v>
      </c>
      <c r="B15" s="91">
        <v>22005265</v>
      </c>
      <c r="C15" s="101" t="s">
        <v>51</v>
      </c>
      <c r="D15" s="96" t="s">
        <v>75</v>
      </c>
      <c r="E15" s="107"/>
      <c r="F15" s="107" t="s">
        <v>160</v>
      </c>
      <c r="G15" s="81">
        <v>42250</v>
      </c>
      <c r="H15" s="102" t="s">
        <v>161</v>
      </c>
      <c r="I15" s="126">
        <v>644350</v>
      </c>
      <c r="J15" s="215">
        <v>0</v>
      </c>
      <c r="K15" s="126">
        <f t="shared" si="17"/>
        <v>0</v>
      </c>
      <c r="L15" s="216">
        <f t="shared" si="18"/>
        <v>0</v>
      </c>
      <c r="M15" s="83"/>
      <c r="N15" s="216">
        <f t="shared" si="0"/>
        <v>0</v>
      </c>
      <c r="O15" s="83"/>
      <c r="P15" s="217">
        <f t="shared" si="19"/>
        <v>0</v>
      </c>
      <c r="Q15" s="83"/>
      <c r="R15" s="83"/>
      <c r="S15" s="83"/>
      <c r="T15" s="216">
        <f t="shared" si="21"/>
        <v>0</v>
      </c>
      <c r="U15" s="83"/>
      <c r="V15" s="216">
        <f t="shared" si="1"/>
        <v>0</v>
      </c>
      <c r="W15" s="83"/>
      <c r="X15" s="216">
        <f t="shared" si="2"/>
        <v>0</v>
      </c>
      <c r="Y15" s="140">
        <v>30</v>
      </c>
      <c r="Z15" s="216">
        <f t="shared" si="3"/>
        <v>644350</v>
      </c>
      <c r="AA15" s="84">
        <v>1</v>
      </c>
      <c r="AB15" s="216">
        <f t="shared" si="20"/>
        <v>2684.7916666666665</v>
      </c>
      <c r="AC15" s="83"/>
      <c r="AD15" s="216">
        <f t="shared" si="4"/>
        <v>0</v>
      </c>
      <c r="AE15" s="83"/>
      <c r="AF15" s="216">
        <f t="shared" si="5"/>
        <v>0</v>
      </c>
      <c r="AG15" s="83"/>
      <c r="AH15" s="216">
        <f t="shared" si="6"/>
        <v>0</v>
      </c>
      <c r="AI15" s="83"/>
      <c r="AJ15" s="216">
        <f t="shared" si="7"/>
        <v>0</v>
      </c>
      <c r="AK15" s="83">
        <v>3</v>
      </c>
      <c r="AL15" s="216">
        <f t="shared" si="8"/>
        <v>16108.75</v>
      </c>
      <c r="AM15" s="83"/>
      <c r="AN15" s="216">
        <f t="shared" si="9"/>
        <v>0</v>
      </c>
      <c r="AO15" s="83"/>
      <c r="AP15" s="216">
        <f t="shared" si="10"/>
        <v>0</v>
      </c>
      <c r="AQ15" s="94"/>
      <c r="AR15" s="94"/>
      <c r="AS15" s="94"/>
      <c r="AT15" s="153">
        <f t="shared" si="11"/>
        <v>660458.75</v>
      </c>
      <c r="AU15" s="216">
        <f t="shared" si="12"/>
        <v>26418.350000000002</v>
      </c>
      <c r="AV15" s="216">
        <f t="shared" si="13"/>
        <v>26418.350000000002</v>
      </c>
      <c r="AW15" s="87"/>
      <c r="AX15" s="216">
        <f t="shared" si="14"/>
        <v>0</v>
      </c>
      <c r="AY15" s="216">
        <f t="shared" si="15"/>
        <v>52836.700000000004</v>
      </c>
      <c r="AZ15" s="218">
        <f t="shared" si="16"/>
        <v>607622.05000000005</v>
      </c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</row>
    <row r="16" spans="1:69" ht="28.5" x14ac:dyDescent="0.2">
      <c r="A16" s="90">
        <v>10</v>
      </c>
      <c r="B16" s="91">
        <v>70551397</v>
      </c>
      <c r="C16" s="101" t="s">
        <v>52</v>
      </c>
      <c r="D16" s="96" t="s">
        <v>74</v>
      </c>
      <c r="E16" s="107"/>
      <c r="F16" s="107" t="s">
        <v>160</v>
      </c>
      <c r="G16" s="81">
        <v>41951</v>
      </c>
      <c r="H16" s="102" t="s">
        <v>161</v>
      </c>
      <c r="I16" s="126">
        <v>644350</v>
      </c>
      <c r="J16" s="215">
        <v>30</v>
      </c>
      <c r="K16" s="126">
        <f t="shared" si="17"/>
        <v>644350</v>
      </c>
      <c r="L16" s="216">
        <f t="shared" si="18"/>
        <v>74000</v>
      </c>
      <c r="M16" s="83"/>
      <c r="N16" s="216">
        <f t="shared" si="0"/>
        <v>0</v>
      </c>
      <c r="O16" s="83"/>
      <c r="P16" s="217">
        <f t="shared" si="19"/>
        <v>0</v>
      </c>
      <c r="Q16" s="83"/>
      <c r="R16" s="83"/>
      <c r="S16" s="83"/>
      <c r="T16" s="216">
        <f t="shared" si="21"/>
        <v>0</v>
      </c>
      <c r="U16" s="83"/>
      <c r="V16" s="216">
        <f t="shared" si="1"/>
        <v>0</v>
      </c>
      <c r="W16" s="83"/>
      <c r="X16" s="216">
        <f t="shared" si="2"/>
        <v>0</v>
      </c>
      <c r="Y16" s="83"/>
      <c r="Z16" s="216">
        <f t="shared" si="3"/>
        <v>0</v>
      </c>
      <c r="AA16" s="84">
        <v>1</v>
      </c>
      <c r="AB16" s="216">
        <f t="shared" si="20"/>
        <v>2684.7916666666665</v>
      </c>
      <c r="AC16" s="83"/>
      <c r="AD16" s="216">
        <f t="shared" si="4"/>
        <v>0</v>
      </c>
      <c r="AE16" s="83"/>
      <c r="AF16" s="216">
        <f t="shared" si="5"/>
        <v>0</v>
      </c>
      <c r="AG16" s="83"/>
      <c r="AH16" s="216">
        <f t="shared" si="6"/>
        <v>0</v>
      </c>
      <c r="AI16" s="83"/>
      <c r="AJ16" s="216">
        <f t="shared" si="7"/>
        <v>0</v>
      </c>
      <c r="AK16" s="83">
        <v>3</v>
      </c>
      <c r="AL16" s="216">
        <f t="shared" si="8"/>
        <v>16108.75</v>
      </c>
      <c r="AM16" s="83"/>
      <c r="AN16" s="216">
        <f t="shared" si="9"/>
        <v>0</v>
      </c>
      <c r="AO16" s="83"/>
      <c r="AP16" s="216">
        <f t="shared" si="10"/>
        <v>0</v>
      </c>
      <c r="AQ16" s="94"/>
      <c r="AR16" s="94"/>
      <c r="AS16" s="94"/>
      <c r="AT16" s="153">
        <f t="shared" si="11"/>
        <v>734458.75</v>
      </c>
      <c r="AU16" s="216">
        <f t="shared" si="12"/>
        <v>26418.350000000002</v>
      </c>
      <c r="AV16" s="216">
        <f t="shared" si="13"/>
        <v>26418.350000000002</v>
      </c>
      <c r="AW16" s="87"/>
      <c r="AX16" s="216">
        <f t="shared" si="14"/>
        <v>0</v>
      </c>
      <c r="AY16" s="216">
        <f t="shared" si="15"/>
        <v>52836.700000000004</v>
      </c>
      <c r="AZ16" s="218">
        <f t="shared" si="16"/>
        <v>681622.05</v>
      </c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</row>
    <row r="17" spans="1:69" ht="28.5" x14ac:dyDescent="0.2">
      <c r="A17" s="90">
        <v>11</v>
      </c>
      <c r="B17" s="91">
        <v>103200123</v>
      </c>
      <c r="C17" s="101" t="s">
        <v>53</v>
      </c>
      <c r="D17" s="96" t="s">
        <v>70</v>
      </c>
      <c r="E17" s="107" t="s">
        <v>160</v>
      </c>
      <c r="F17" s="107"/>
      <c r="G17" s="81">
        <v>40952</v>
      </c>
      <c r="H17" s="102" t="s">
        <v>161</v>
      </c>
      <c r="I17" s="126">
        <v>1424453</v>
      </c>
      <c r="J17" s="215">
        <v>30</v>
      </c>
      <c r="K17" s="126">
        <f t="shared" si="17"/>
        <v>1424453</v>
      </c>
      <c r="L17" s="216">
        <f t="shared" si="18"/>
        <v>0</v>
      </c>
      <c r="M17" s="83"/>
      <c r="N17" s="216">
        <f t="shared" si="0"/>
        <v>0</v>
      </c>
      <c r="O17" s="83"/>
      <c r="P17" s="217">
        <f t="shared" si="19"/>
        <v>0</v>
      </c>
      <c r="Q17" s="83"/>
      <c r="R17" s="83"/>
      <c r="S17" s="83"/>
      <c r="T17" s="216">
        <f t="shared" si="21"/>
        <v>0</v>
      </c>
      <c r="U17" s="83"/>
      <c r="V17" s="216">
        <f t="shared" si="1"/>
        <v>0</v>
      </c>
      <c r="W17" s="83"/>
      <c r="X17" s="216">
        <f t="shared" si="2"/>
        <v>0</v>
      </c>
      <c r="Y17" s="83"/>
      <c r="Z17" s="216">
        <f t="shared" si="3"/>
        <v>0</v>
      </c>
      <c r="AA17" s="84">
        <v>1</v>
      </c>
      <c r="AB17" s="216">
        <f t="shared" si="20"/>
        <v>5935.2208333333338</v>
      </c>
      <c r="AC17" s="83"/>
      <c r="AD17" s="216">
        <f t="shared" si="4"/>
        <v>0</v>
      </c>
      <c r="AE17" s="83"/>
      <c r="AF17" s="216">
        <f t="shared" si="5"/>
        <v>0</v>
      </c>
      <c r="AG17" s="83"/>
      <c r="AH17" s="216">
        <f t="shared" si="6"/>
        <v>0</v>
      </c>
      <c r="AI17" s="83"/>
      <c r="AJ17" s="216">
        <f t="shared" si="7"/>
        <v>0</v>
      </c>
      <c r="AK17" s="83"/>
      <c r="AL17" s="216">
        <f t="shared" si="8"/>
        <v>0</v>
      </c>
      <c r="AM17" s="83"/>
      <c r="AN17" s="216">
        <f t="shared" si="9"/>
        <v>0</v>
      </c>
      <c r="AO17" s="83"/>
      <c r="AP17" s="216">
        <f t="shared" si="10"/>
        <v>0</v>
      </c>
      <c r="AQ17" s="94"/>
      <c r="AR17" s="94"/>
      <c r="AS17" s="94"/>
      <c r="AT17" s="153">
        <f t="shared" si="11"/>
        <v>1424453</v>
      </c>
      <c r="AU17" s="216">
        <f t="shared" si="12"/>
        <v>56978.12</v>
      </c>
      <c r="AV17" s="216">
        <f t="shared" si="13"/>
        <v>56978.12</v>
      </c>
      <c r="AW17" s="87"/>
      <c r="AX17" s="216">
        <f t="shared" si="14"/>
        <v>0</v>
      </c>
      <c r="AY17" s="216">
        <f t="shared" si="15"/>
        <v>113956.24</v>
      </c>
      <c r="AZ17" s="218">
        <f t="shared" si="16"/>
        <v>1310496.76</v>
      </c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</row>
    <row r="18" spans="1:69" ht="28.5" x14ac:dyDescent="0.2">
      <c r="A18" s="90">
        <v>12</v>
      </c>
      <c r="B18" s="91">
        <v>70161784</v>
      </c>
      <c r="C18" s="101" t="s">
        <v>55</v>
      </c>
      <c r="D18" s="96" t="s">
        <v>71</v>
      </c>
      <c r="E18" s="107" t="s">
        <v>160</v>
      </c>
      <c r="F18" s="107"/>
      <c r="G18" s="81">
        <v>40952</v>
      </c>
      <c r="H18" s="102" t="s">
        <v>161</v>
      </c>
      <c r="I18" s="126">
        <v>721672</v>
      </c>
      <c r="J18" s="215">
        <v>20</v>
      </c>
      <c r="K18" s="126">
        <f t="shared" si="17"/>
        <v>481114.66666666669</v>
      </c>
      <c r="L18" s="216">
        <f t="shared" si="18"/>
        <v>49333.333333333336</v>
      </c>
      <c r="M18" s="83">
        <v>10</v>
      </c>
      <c r="N18" s="216">
        <f t="shared" si="0"/>
        <v>240557.33333333334</v>
      </c>
      <c r="O18" s="83"/>
      <c r="P18" s="217">
        <f t="shared" si="19"/>
        <v>0</v>
      </c>
      <c r="Q18" s="83"/>
      <c r="R18" s="83"/>
      <c r="S18" s="83"/>
      <c r="T18" s="216">
        <f t="shared" si="21"/>
        <v>0</v>
      </c>
      <c r="U18" s="83"/>
      <c r="V18" s="216">
        <f t="shared" si="1"/>
        <v>0</v>
      </c>
      <c r="W18" s="83"/>
      <c r="X18" s="216">
        <f t="shared" si="2"/>
        <v>0</v>
      </c>
      <c r="Y18" s="83"/>
      <c r="Z18" s="216">
        <f t="shared" si="3"/>
        <v>0</v>
      </c>
      <c r="AA18" s="84">
        <v>1</v>
      </c>
      <c r="AB18" s="216">
        <f t="shared" si="20"/>
        <v>3006.9666666666667</v>
      </c>
      <c r="AC18" s="83">
        <v>12</v>
      </c>
      <c r="AD18" s="216">
        <f t="shared" si="4"/>
        <v>12629.26</v>
      </c>
      <c r="AE18" s="83"/>
      <c r="AF18" s="216">
        <f t="shared" si="5"/>
        <v>0</v>
      </c>
      <c r="AG18" s="83"/>
      <c r="AH18" s="216">
        <f t="shared" si="6"/>
        <v>0</v>
      </c>
      <c r="AI18" s="83"/>
      <c r="AJ18" s="216">
        <f t="shared" si="7"/>
        <v>0</v>
      </c>
      <c r="AK18" s="83">
        <v>3</v>
      </c>
      <c r="AL18" s="216">
        <f t="shared" si="8"/>
        <v>18041.8</v>
      </c>
      <c r="AM18" s="83"/>
      <c r="AN18" s="216">
        <f t="shared" si="9"/>
        <v>0</v>
      </c>
      <c r="AO18" s="83"/>
      <c r="AP18" s="216">
        <f t="shared" si="10"/>
        <v>0</v>
      </c>
      <c r="AQ18" s="94"/>
      <c r="AR18" s="94"/>
      <c r="AS18" s="94"/>
      <c r="AT18" s="153">
        <f t="shared" si="11"/>
        <v>801676.39333333343</v>
      </c>
      <c r="AU18" s="216">
        <f t="shared" si="12"/>
        <v>30093.722400000002</v>
      </c>
      <c r="AV18" s="216">
        <f t="shared" si="13"/>
        <v>30093.722400000002</v>
      </c>
      <c r="AW18" s="87"/>
      <c r="AX18" s="216">
        <f t="shared" si="14"/>
        <v>0</v>
      </c>
      <c r="AY18" s="216">
        <f t="shared" si="15"/>
        <v>60187.444800000005</v>
      </c>
      <c r="AZ18" s="218">
        <f t="shared" si="16"/>
        <v>741488.94853333337</v>
      </c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</row>
    <row r="19" spans="1:69" ht="28.5" x14ac:dyDescent="0.2">
      <c r="A19" s="90">
        <v>13</v>
      </c>
      <c r="B19" s="91">
        <v>70303508</v>
      </c>
      <c r="C19" s="101" t="s">
        <v>54</v>
      </c>
      <c r="D19" s="96" t="s">
        <v>67</v>
      </c>
      <c r="E19" s="107"/>
      <c r="F19" s="107" t="s">
        <v>160</v>
      </c>
      <c r="G19" s="81">
        <v>41831</v>
      </c>
      <c r="H19" s="102" t="s">
        <v>161</v>
      </c>
      <c r="I19" s="126">
        <v>644350</v>
      </c>
      <c r="J19" s="215">
        <v>15</v>
      </c>
      <c r="K19" s="126">
        <f t="shared" si="17"/>
        <v>322175</v>
      </c>
      <c r="L19" s="216">
        <f t="shared" si="18"/>
        <v>37000</v>
      </c>
      <c r="M19" s="97"/>
      <c r="N19" s="216">
        <f t="shared" si="0"/>
        <v>0</v>
      </c>
      <c r="O19" s="97"/>
      <c r="P19" s="217">
        <f t="shared" si="19"/>
        <v>0</v>
      </c>
      <c r="Q19" s="97"/>
      <c r="R19" s="97"/>
      <c r="S19" s="140">
        <v>15</v>
      </c>
      <c r="T19" s="216">
        <f>+(I19*360)/720</f>
        <v>322175</v>
      </c>
      <c r="U19" s="97"/>
      <c r="V19" s="216">
        <f t="shared" si="1"/>
        <v>0</v>
      </c>
      <c r="W19" s="97"/>
      <c r="X19" s="216">
        <f t="shared" si="2"/>
        <v>0</v>
      </c>
      <c r="Y19" s="97"/>
      <c r="Z19" s="216">
        <f t="shared" si="3"/>
        <v>0</v>
      </c>
      <c r="AA19" s="84">
        <v>1</v>
      </c>
      <c r="AB19" s="216">
        <f t="shared" si="20"/>
        <v>2684.7916666666665</v>
      </c>
      <c r="AC19" s="83"/>
      <c r="AD19" s="216">
        <f t="shared" si="4"/>
        <v>0</v>
      </c>
      <c r="AE19" s="83"/>
      <c r="AF19" s="216">
        <f t="shared" si="5"/>
        <v>0</v>
      </c>
      <c r="AG19" s="83">
        <v>4</v>
      </c>
      <c r="AH19" s="216">
        <f t="shared" si="6"/>
        <v>13423.958333333334</v>
      </c>
      <c r="AI19" s="83"/>
      <c r="AJ19" s="216">
        <f t="shared" si="7"/>
        <v>0</v>
      </c>
      <c r="AK19" s="83">
        <v>3</v>
      </c>
      <c r="AL19" s="216">
        <f t="shared" si="8"/>
        <v>16108.75</v>
      </c>
      <c r="AM19" s="83"/>
      <c r="AN19" s="216">
        <f t="shared" si="9"/>
        <v>0</v>
      </c>
      <c r="AO19" s="83"/>
      <c r="AP19" s="216">
        <f t="shared" si="10"/>
        <v>0</v>
      </c>
      <c r="AQ19" s="94"/>
      <c r="AR19" s="94"/>
      <c r="AS19" s="94"/>
      <c r="AT19" s="153">
        <f t="shared" si="11"/>
        <v>710882.70833333337</v>
      </c>
      <c r="AU19" s="216">
        <f t="shared" si="12"/>
        <v>26955.308333333334</v>
      </c>
      <c r="AV19" s="216">
        <f t="shared" si="13"/>
        <v>26955.308333333334</v>
      </c>
      <c r="AW19" s="87"/>
      <c r="AX19" s="216">
        <f t="shared" si="14"/>
        <v>0</v>
      </c>
      <c r="AY19" s="216">
        <f t="shared" si="15"/>
        <v>53910.616666666669</v>
      </c>
      <c r="AZ19" s="218">
        <f t="shared" si="16"/>
        <v>656972.09166666667</v>
      </c>
    </row>
    <row r="20" spans="1:69" ht="21.75" customHeight="1" x14ac:dyDescent="0.2">
      <c r="A20" s="90">
        <v>14</v>
      </c>
      <c r="B20" s="91">
        <v>22031873</v>
      </c>
      <c r="C20" s="104" t="s">
        <v>57</v>
      </c>
      <c r="D20" s="105" t="s">
        <v>73</v>
      </c>
      <c r="E20" s="107"/>
      <c r="F20" s="107" t="s">
        <v>160</v>
      </c>
      <c r="G20" s="81">
        <v>41831</v>
      </c>
      <c r="H20" s="102" t="s">
        <v>161</v>
      </c>
      <c r="I20" s="126">
        <v>644350</v>
      </c>
      <c r="J20" s="215">
        <v>30</v>
      </c>
      <c r="K20" s="126">
        <f t="shared" si="17"/>
        <v>644350</v>
      </c>
      <c r="L20" s="216">
        <f t="shared" si="18"/>
        <v>74000</v>
      </c>
      <c r="M20" s="83"/>
      <c r="N20" s="216">
        <f t="shared" si="0"/>
        <v>0</v>
      </c>
      <c r="O20" s="83"/>
      <c r="P20" s="217">
        <f t="shared" si="19"/>
        <v>0</v>
      </c>
      <c r="Q20" s="83"/>
      <c r="R20" s="83"/>
      <c r="S20" s="83"/>
      <c r="T20" s="216">
        <f t="shared" ref="T20:T28" si="22">+I20*S20/720</f>
        <v>0</v>
      </c>
      <c r="U20" s="83"/>
      <c r="V20" s="216">
        <f t="shared" si="1"/>
        <v>0</v>
      </c>
      <c r="W20" s="83"/>
      <c r="X20" s="216">
        <f t="shared" si="2"/>
        <v>0</v>
      </c>
      <c r="Y20" s="83"/>
      <c r="Z20" s="216">
        <f t="shared" si="3"/>
        <v>0</v>
      </c>
      <c r="AA20" s="84">
        <v>1</v>
      </c>
      <c r="AB20" s="216">
        <f t="shared" si="20"/>
        <v>2684.7916666666665</v>
      </c>
      <c r="AC20" s="83"/>
      <c r="AD20" s="216">
        <f t="shared" si="4"/>
        <v>0</v>
      </c>
      <c r="AE20" s="83"/>
      <c r="AF20" s="216">
        <f t="shared" si="5"/>
        <v>0</v>
      </c>
      <c r="AG20" s="83"/>
      <c r="AH20" s="216">
        <f t="shared" si="6"/>
        <v>0</v>
      </c>
      <c r="AI20" s="83"/>
      <c r="AJ20" s="216">
        <f t="shared" si="7"/>
        <v>0</v>
      </c>
      <c r="AK20" s="83"/>
      <c r="AL20" s="216">
        <f t="shared" si="8"/>
        <v>0</v>
      </c>
      <c r="AM20" s="83"/>
      <c r="AN20" s="216">
        <f t="shared" si="9"/>
        <v>0</v>
      </c>
      <c r="AO20" s="83"/>
      <c r="AP20" s="216">
        <f t="shared" si="10"/>
        <v>0</v>
      </c>
      <c r="AQ20" s="94"/>
      <c r="AR20" s="94"/>
      <c r="AS20" s="94"/>
      <c r="AT20" s="153">
        <f t="shared" si="11"/>
        <v>718350</v>
      </c>
      <c r="AU20" s="216">
        <f t="shared" si="12"/>
        <v>25774</v>
      </c>
      <c r="AV20" s="216">
        <f t="shared" si="13"/>
        <v>25774</v>
      </c>
      <c r="AW20" s="87"/>
      <c r="AX20" s="216">
        <f t="shared" si="14"/>
        <v>0</v>
      </c>
      <c r="AY20" s="216">
        <f t="shared" si="15"/>
        <v>51548</v>
      </c>
      <c r="AZ20" s="218">
        <f t="shared" si="16"/>
        <v>666802</v>
      </c>
    </row>
    <row r="21" spans="1:69" ht="28.5" x14ac:dyDescent="0.2">
      <c r="A21" s="90">
        <v>15</v>
      </c>
      <c r="B21" s="91">
        <v>32542656</v>
      </c>
      <c r="C21" s="104" t="s">
        <v>56</v>
      </c>
      <c r="D21" s="105" t="s">
        <v>73</v>
      </c>
      <c r="E21" s="107"/>
      <c r="F21" s="107" t="s">
        <v>160</v>
      </c>
      <c r="G21" s="81">
        <v>42223</v>
      </c>
      <c r="H21" s="102" t="s">
        <v>161</v>
      </c>
      <c r="I21" s="126">
        <v>644350</v>
      </c>
      <c r="J21" s="215">
        <v>30</v>
      </c>
      <c r="K21" s="126">
        <f t="shared" si="17"/>
        <v>644350</v>
      </c>
      <c r="L21" s="216">
        <f t="shared" si="18"/>
        <v>74000</v>
      </c>
      <c r="M21" s="83"/>
      <c r="N21" s="216">
        <f t="shared" si="0"/>
        <v>0</v>
      </c>
      <c r="O21" s="83"/>
      <c r="P21" s="217">
        <f t="shared" si="19"/>
        <v>0</v>
      </c>
      <c r="Q21" s="83"/>
      <c r="R21" s="83"/>
      <c r="S21" s="83"/>
      <c r="T21" s="216">
        <f t="shared" si="22"/>
        <v>0</v>
      </c>
      <c r="U21" s="83"/>
      <c r="V21" s="216">
        <f t="shared" si="1"/>
        <v>0</v>
      </c>
      <c r="W21" s="83"/>
      <c r="X21" s="216">
        <f t="shared" si="2"/>
        <v>0</v>
      </c>
      <c r="Y21" s="83"/>
      <c r="Z21" s="216">
        <f t="shared" si="3"/>
        <v>0</v>
      </c>
      <c r="AA21" s="84">
        <v>1</v>
      </c>
      <c r="AB21" s="216">
        <f t="shared" si="20"/>
        <v>2684.7916666666665</v>
      </c>
      <c r="AC21" s="83"/>
      <c r="AD21" s="216">
        <f t="shared" si="4"/>
        <v>0</v>
      </c>
      <c r="AE21" s="83"/>
      <c r="AF21" s="216">
        <f t="shared" si="5"/>
        <v>0</v>
      </c>
      <c r="AG21" s="83"/>
      <c r="AH21" s="216">
        <f t="shared" si="6"/>
        <v>0</v>
      </c>
      <c r="AI21" s="83"/>
      <c r="AJ21" s="216">
        <f t="shared" si="7"/>
        <v>0</v>
      </c>
      <c r="AK21" s="83">
        <v>4</v>
      </c>
      <c r="AL21" s="216">
        <f t="shared" si="8"/>
        <v>21478.333333333332</v>
      </c>
      <c r="AM21" s="83"/>
      <c r="AN21" s="216">
        <f t="shared" si="9"/>
        <v>0</v>
      </c>
      <c r="AO21" s="83"/>
      <c r="AP21" s="216">
        <f t="shared" si="10"/>
        <v>0</v>
      </c>
      <c r="AQ21" s="94"/>
      <c r="AR21" s="94"/>
      <c r="AS21" s="94"/>
      <c r="AT21" s="153">
        <f t="shared" si="11"/>
        <v>739828.33333333337</v>
      </c>
      <c r="AU21" s="216">
        <f t="shared" si="12"/>
        <v>26633.133333333335</v>
      </c>
      <c r="AV21" s="216">
        <f t="shared" si="13"/>
        <v>26633.133333333335</v>
      </c>
      <c r="AW21" s="87"/>
      <c r="AX21" s="216">
        <f t="shared" si="14"/>
        <v>0</v>
      </c>
      <c r="AY21" s="216">
        <f t="shared" si="15"/>
        <v>53266.26666666667</v>
      </c>
      <c r="AZ21" s="218">
        <f t="shared" si="16"/>
        <v>686562.06666666665</v>
      </c>
    </row>
    <row r="22" spans="1:69" ht="42.75" x14ac:dyDescent="0.2">
      <c r="A22" s="90">
        <v>16</v>
      </c>
      <c r="B22" s="91">
        <v>1152209793</v>
      </c>
      <c r="C22" s="104" t="s">
        <v>58</v>
      </c>
      <c r="D22" s="105" t="s">
        <v>77</v>
      </c>
      <c r="E22" s="107" t="s">
        <v>160</v>
      </c>
      <c r="F22" s="107"/>
      <c r="G22" s="81">
        <v>40952</v>
      </c>
      <c r="H22" s="102" t="s">
        <v>161</v>
      </c>
      <c r="I22" s="126">
        <v>1271833</v>
      </c>
      <c r="J22" s="215">
        <v>30</v>
      </c>
      <c r="K22" s="126">
        <f t="shared" si="17"/>
        <v>1271833</v>
      </c>
      <c r="L22" s="216">
        <f t="shared" si="18"/>
        <v>74000</v>
      </c>
      <c r="M22" s="83"/>
      <c r="N22" s="216">
        <f t="shared" si="0"/>
        <v>0</v>
      </c>
      <c r="O22" s="83"/>
      <c r="P22" s="217">
        <f t="shared" si="19"/>
        <v>0</v>
      </c>
      <c r="Q22" s="83"/>
      <c r="R22" s="83"/>
      <c r="S22" s="83"/>
      <c r="T22" s="216">
        <f t="shared" si="22"/>
        <v>0</v>
      </c>
      <c r="U22" s="83"/>
      <c r="V22" s="216">
        <f t="shared" si="1"/>
        <v>0</v>
      </c>
      <c r="W22" s="83"/>
      <c r="X22" s="216">
        <f t="shared" si="2"/>
        <v>0</v>
      </c>
      <c r="Y22" s="83"/>
      <c r="Z22" s="216">
        <f t="shared" si="3"/>
        <v>0</v>
      </c>
      <c r="AA22" s="84">
        <v>1</v>
      </c>
      <c r="AB22" s="216">
        <f t="shared" si="20"/>
        <v>5299.3041666666668</v>
      </c>
      <c r="AC22" s="83">
        <v>12</v>
      </c>
      <c r="AD22" s="216">
        <f t="shared" si="4"/>
        <v>22257.077499999999</v>
      </c>
      <c r="AE22" s="83"/>
      <c r="AF22" s="216">
        <f t="shared" si="5"/>
        <v>0</v>
      </c>
      <c r="AG22" s="83"/>
      <c r="AH22" s="216">
        <f t="shared" si="6"/>
        <v>0</v>
      </c>
      <c r="AI22" s="83">
        <v>4</v>
      </c>
      <c r="AJ22" s="216">
        <f t="shared" si="7"/>
        <v>37095.129166666666</v>
      </c>
      <c r="AK22" s="83">
        <v>4</v>
      </c>
      <c r="AL22" s="216">
        <f t="shared" si="8"/>
        <v>42394.433333333334</v>
      </c>
      <c r="AM22" s="83">
        <v>2</v>
      </c>
      <c r="AN22" s="216">
        <f t="shared" si="9"/>
        <v>26496.520833333332</v>
      </c>
      <c r="AO22" s="83"/>
      <c r="AP22" s="216">
        <f t="shared" si="10"/>
        <v>0</v>
      </c>
      <c r="AQ22" s="94"/>
      <c r="AR22" s="94"/>
      <c r="AS22" s="94"/>
      <c r="AT22" s="153">
        <f t="shared" si="11"/>
        <v>1474076.1608333332</v>
      </c>
      <c r="AU22" s="216">
        <f t="shared" si="12"/>
        <v>56003.046433333329</v>
      </c>
      <c r="AV22" s="216">
        <f t="shared" si="13"/>
        <v>56003.046433333329</v>
      </c>
      <c r="AW22" s="87"/>
      <c r="AX22" s="216">
        <f t="shared" si="14"/>
        <v>0</v>
      </c>
      <c r="AY22" s="216">
        <f t="shared" si="15"/>
        <v>112006.09286666666</v>
      </c>
      <c r="AZ22" s="218">
        <f t="shared" si="16"/>
        <v>1362070.0679666665</v>
      </c>
    </row>
    <row r="23" spans="1:69" ht="28.5" x14ac:dyDescent="0.2">
      <c r="A23" s="90">
        <v>17</v>
      </c>
      <c r="B23" s="91">
        <v>71644291</v>
      </c>
      <c r="C23" s="104" t="s">
        <v>59</v>
      </c>
      <c r="D23" s="105" t="s">
        <v>74</v>
      </c>
      <c r="E23" s="107"/>
      <c r="F23" s="107" t="s">
        <v>160</v>
      </c>
      <c r="G23" s="81">
        <v>41958</v>
      </c>
      <c r="H23" s="102" t="s">
        <v>161</v>
      </c>
      <c r="I23" s="126">
        <v>644350</v>
      </c>
      <c r="J23" s="215">
        <v>30</v>
      </c>
      <c r="K23" s="126">
        <f t="shared" si="17"/>
        <v>644350</v>
      </c>
      <c r="L23" s="216">
        <f t="shared" si="18"/>
        <v>74000</v>
      </c>
      <c r="M23" s="83"/>
      <c r="N23" s="216">
        <f t="shared" si="0"/>
        <v>0</v>
      </c>
      <c r="O23" s="83"/>
      <c r="P23" s="217">
        <f t="shared" si="19"/>
        <v>0</v>
      </c>
      <c r="Q23" s="83"/>
      <c r="R23" s="83"/>
      <c r="S23" s="83"/>
      <c r="T23" s="216">
        <f t="shared" si="22"/>
        <v>0</v>
      </c>
      <c r="U23" s="83"/>
      <c r="V23" s="216">
        <f t="shared" si="1"/>
        <v>0</v>
      </c>
      <c r="W23" s="83"/>
      <c r="X23" s="216">
        <f t="shared" si="2"/>
        <v>0</v>
      </c>
      <c r="Y23" s="83"/>
      <c r="Z23" s="216">
        <f t="shared" si="3"/>
        <v>0</v>
      </c>
      <c r="AA23" s="84">
        <v>1</v>
      </c>
      <c r="AB23" s="216">
        <f t="shared" si="20"/>
        <v>2684.7916666666665</v>
      </c>
      <c r="AC23" s="83"/>
      <c r="AD23" s="216">
        <f t="shared" si="4"/>
        <v>0</v>
      </c>
      <c r="AE23" s="83"/>
      <c r="AF23" s="216">
        <f t="shared" si="5"/>
        <v>0</v>
      </c>
      <c r="AG23" s="83"/>
      <c r="AH23" s="216">
        <f t="shared" si="6"/>
        <v>0</v>
      </c>
      <c r="AI23" s="83">
        <v>4</v>
      </c>
      <c r="AJ23" s="216">
        <f t="shared" si="7"/>
        <v>18793.541666666668</v>
      </c>
      <c r="AK23" s="83">
        <v>4</v>
      </c>
      <c r="AL23" s="216">
        <f t="shared" si="8"/>
        <v>21478.333333333332</v>
      </c>
      <c r="AM23" s="83"/>
      <c r="AN23" s="216">
        <f t="shared" si="9"/>
        <v>0</v>
      </c>
      <c r="AO23" s="83"/>
      <c r="AP23" s="216">
        <f t="shared" si="10"/>
        <v>0</v>
      </c>
      <c r="AQ23" s="94"/>
      <c r="AR23" s="94">
        <v>320000</v>
      </c>
      <c r="AS23" s="94"/>
      <c r="AT23" s="153">
        <f t="shared" si="11"/>
        <v>1078621.875</v>
      </c>
      <c r="AU23" s="216">
        <f t="shared" si="12"/>
        <v>40184.875</v>
      </c>
      <c r="AV23" s="216">
        <f t="shared" si="13"/>
        <v>40184.875</v>
      </c>
      <c r="AW23" s="87"/>
      <c r="AX23" s="216">
        <f t="shared" si="14"/>
        <v>0</v>
      </c>
      <c r="AY23" s="216">
        <f t="shared" si="15"/>
        <v>80369.75</v>
      </c>
      <c r="AZ23" s="218">
        <f t="shared" si="16"/>
        <v>998252.125</v>
      </c>
    </row>
    <row r="24" spans="1:69" ht="28.5" x14ac:dyDescent="0.2">
      <c r="A24" s="90">
        <v>18</v>
      </c>
      <c r="B24" s="91">
        <v>70758631</v>
      </c>
      <c r="C24" s="104" t="s">
        <v>60</v>
      </c>
      <c r="D24" s="105" t="s">
        <v>66</v>
      </c>
      <c r="E24" s="107"/>
      <c r="F24" s="107" t="s">
        <v>160</v>
      </c>
      <c r="G24" s="93">
        <v>42284</v>
      </c>
      <c r="H24" s="103" t="s">
        <v>161</v>
      </c>
      <c r="I24" s="126">
        <v>808273</v>
      </c>
      <c r="J24" s="215">
        <v>24</v>
      </c>
      <c r="K24" s="126">
        <f t="shared" si="17"/>
        <v>646618.4</v>
      </c>
      <c r="L24" s="216">
        <f t="shared" si="18"/>
        <v>59200</v>
      </c>
      <c r="M24" s="83"/>
      <c r="N24" s="216">
        <f t="shared" si="0"/>
        <v>0</v>
      </c>
      <c r="O24" s="83"/>
      <c r="P24" s="217">
        <f t="shared" si="19"/>
        <v>0</v>
      </c>
      <c r="Q24" s="83"/>
      <c r="R24" s="83"/>
      <c r="S24" s="83"/>
      <c r="T24" s="216">
        <f t="shared" si="22"/>
        <v>0</v>
      </c>
      <c r="U24" s="83"/>
      <c r="V24" s="216">
        <f t="shared" si="1"/>
        <v>0</v>
      </c>
      <c r="W24" s="83"/>
      <c r="X24" s="216">
        <f t="shared" si="2"/>
        <v>0</v>
      </c>
      <c r="Y24" s="83"/>
      <c r="Z24" s="216">
        <f t="shared" si="3"/>
        <v>0</v>
      </c>
      <c r="AA24" s="84">
        <v>1</v>
      </c>
      <c r="AB24" s="216">
        <f t="shared" si="20"/>
        <v>3367.8041666666668</v>
      </c>
      <c r="AC24" s="83"/>
      <c r="AD24" s="216">
        <f t="shared" si="4"/>
        <v>0</v>
      </c>
      <c r="AE24" s="83"/>
      <c r="AF24" s="216">
        <f t="shared" si="5"/>
        <v>0</v>
      </c>
      <c r="AG24" s="83">
        <v>4</v>
      </c>
      <c r="AH24" s="216">
        <f t="shared" si="6"/>
        <v>16839.020833333332</v>
      </c>
      <c r="AI24" s="83"/>
      <c r="AJ24" s="216">
        <f t="shared" si="7"/>
        <v>0</v>
      </c>
      <c r="AK24" s="83"/>
      <c r="AL24" s="216">
        <f t="shared" si="8"/>
        <v>0</v>
      </c>
      <c r="AM24" s="83"/>
      <c r="AN24" s="216">
        <f t="shared" si="9"/>
        <v>0</v>
      </c>
      <c r="AO24" s="83"/>
      <c r="AP24" s="216">
        <f t="shared" si="10"/>
        <v>0</v>
      </c>
      <c r="AQ24" s="94"/>
      <c r="AR24" s="94"/>
      <c r="AS24" s="94"/>
      <c r="AT24" s="153">
        <f t="shared" si="11"/>
        <v>722657.4208333334</v>
      </c>
      <c r="AU24" s="216">
        <f t="shared" si="12"/>
        <v>26538.296833333337</v>
      </c>
      <c r="AV24" s="216">
        <f t="shared" si="13"/>
        <v>26538.296833333337</v>
      </c>
      <c r="AW24" s="87">
        <v>130000</v>
      </c>
      <c r="AX24" s="216">
        <f t="shared" si="14"/>
        <v>0</v>
      </c>
      <c r="AY24" s="216">
        <f t="shared" si="15"/>
        <v>183076.59366666668</v>
      </c>
      <c r="AZ24" s="218">
        <f t="shared" si="16"/>
        <v>539580.82716666674</v>
      </c>
    </row>
    <row r="25" spans="1:69" ht="28.5" x14ac:dyDescent="0.2">
      <c r="A25" s="90">
        <v>19</v>
      </c>
      <c r="B25" s="91">
        <v>22556321</v>
      </c>
      <c r="C25" s="104" t="s">
        <v>61</v>
      </c>
      <c r="D25" s="96" t="s">
        <v>75</v>
      </c>
      <c r="E25" s="107"/>
      <c r="F25" s="107" t="s">
        <v>160</v>
      </c>
      <c r="G25" s="81">
        <v>42065</v>
      </c>
      <c r="H25" s="102" t="s">
        <v>161</v>
      </c>
      <c r="I25" s="126">
        <v>644350</v>
      </c>
      <c r="J25" s="215">
        <v>16</v>
      </c>
      <c r="K25" s="126">
        <f t="shared" si="17"/>
        <v>343653.33333333331</v>
      </c>
      <c r="L25" s="216">
        <f t="shared" si="18"/>
        <v>39466.666666666664</v>
      </c>
      <c r="M25" s="83">
        <v>14</v>
      </c>
      <c r="N25" s="216">
        <f t="shared" si="0"/>
        <v>300696.66666666669</v>
      </c>
      <c r="O25" s="83"/>
      <c r="P25" s="217">
        <f t="shared" si="19"/>
        <v>0</v>
      </c>
      <c r="Q25" s="83"/>
      <c r="R25" s="83"/>
      <c r="S25" s="83"/>
      <c r="T25" s="216">
        <f t="shared" si="22"/>
        <v>0</v>
      </c>
      <c r="U25" s="83"/>
      <c r="V25" s="216">
        <f t="shared" si="1"/>
        <v>0</v>
      </c>
      <c r="W25" s="83"/>
      <c r="X25" s="216">
        <f t="shared" si="2"/>
        <v>0</v>
      </c>
      <c r="Y25" s="83"/>
      <c r="Z25" s="216">
        <f t="shared" si="3"/>
        <v>0</v>
      </c>
      <c r="AA25" s="84">
        <v>1</v>
      </c>
      <c r="AB25" s="216">
        <f t="shared" si="20"/>
        <v>2684.7916666666665</v>
      </c>
      <c r="AC25" s="83"/>
      <c r="AD25" s="216">
        <f t="shared" si="4"/>
        <v>0</v>
      </c>
      <c r="AE25" s="83"/>
      <c r="AF25" s="216">
        <f t="shared" si="5"/>
        <v>0</v>
      </c>
      <c r="AG25" s="83"/>
      <c r="AH25" s="216">
        <f t="shared" si="6"/>
        <v>0</v>
      </c>
      <c r="AI25" s="83"/>
      <c r="AJ25" s="216">
        <f t="shared" si="7"/>
        <v>0</v>
      </c>
      <c r="AK25" s="83">
        <v>3</v>
      </c>
      <c r="AL25" s="216">
        <f t="shared" si="8"/>
        <v>16108.75</v>
      </c>
      <c r="AM25" s="83"/>
      <c r="AN25" s="216">
        <f t="shared" si="9"/>
        <v>0</v>
      </c>
      <c r="AO25" s="83"/>
      <c r="AP25" s="216">
        <f t="shared" si="10"/>
        <v>0</v>
      </c>
      <c r="AQ25" s="94"/>
      <c r="AR25" s="94"/>
      <c r="AS25" s="94"/>
      <c r="AT25" s="153">
        <f t="shared" si="11"/>
        <v>699925.41666666674</v>
      </c>
      <c r="AU25" s="216">
        <f t="shared" si="12"/>
        <v>26418.350000000006</v>
      </c>
      <c r="AV25" s="216">
        <f t="shared" si="13"/>
        <v>26418.350000000006</v>
      </c>
      <c r="AW25" s="87"/>
      <c r="AX25" s="216">
        <f t="shared" si="14"/>
        <v>0</v>
      </c>
      <c r="AY25" s="216">
        <f t="shared" si="15"/>
        <v>52836.700000000012</v>
      </c>
      <c r="AZ25" s="218">
        <f t="shared" si="16"/>
        <v>647088.71666666679</v>
      </c>
    </row>
    <row r="26" spans="1:69" ht="42.75" x14ac:dyDescent="0.2">
      <c r="A26" s="90">
        <v>20</v>
      </c>
      <c r="B26" s="91">
        <v>101500572</v>
      </c>
      <c r="C26" s="104" t="s">
        <v>62</v>
      </c>
      <c r="D26" s="105" t="s">
        <v>73</v>
      </c>
      <c r="E26" s="107"/>
      <c r="F26" s="107" t="s">
        <v>160</v>
      </c>
      <c r="G26" s="81">
        <v>42036</v>
      </c>
      <c r="H26" s="155">
        <v>42280</v>
      </c>
      <c r="I26" s="126">
        <v>644350</v>
      </c>
      <c r="J26" s="215">
        <v>3</v>
      </c>
      <c r="K26" s="126">
        <f t="shared" si="17"/>
        <v>64435</v>
      </c>
      <c r="L26" s="216">
        <f t="shared" si="18"/>
        <v>7400</v>
      </c>
      <c r="M26" s="83"/>
      <c r="N26" s="216">
        <f t="shared" si="0"/>
        <v>0</v>
      </c>
      <c r="O26" s="83"/>
      <c r="P26" s="217">
        <f t="shared" si="19"/>
        <v>0</v>
      </c>
      <c r="Q26" s="83"/>
      <c r="R26" s="83"/>
      <c r="S26" s="83"/>
      <c r="T26" s="216">
        <f t="shared" si="22"/>
        <v>0</v>
      </c>
      <c r="U26" s="83"/>
      <c r="V26" s="216">
        <f t="shared" si="1"/>
        <v>0</v>
      </c>
      <c r="W26" s="83"/>
      <c r="X26" s="216">
        <f t="shared" si="2"/>
        <v>0</v>
      </c>
      <c r="Y26" s="83"/>
      <c r="Z26" s="216">
        <f t="shared" si="3"/>
        <v>0</v>
      </c>
      <c r="AA26" s="84">
        <v>1</v>
      </c>
      <c r="AB26" s="216">
        <f t="shared" si="20"/>
        <v>2684.7916666666665</v>
      </c>
      <c r="AC26" s="83"/>
      <c r="AD26" s="216">
        <f t="shared" si="4"/>
        <v>0</v>
      </c>
      <c r="AE26" s="83"/>
      <c r="AF26" s="216">
        <f t="shared" si="5"/>
        <v>0</v>
      </c>
      <c r="AG26" s="83"/>
      <c r="AH26" s="216">
        <f t="shared" si="6"/>
        <v>0</v>
      </c>
      <c r="AI26" s="83">
        <v>3</v>
      </c>
      <c r="AJ26" s="216">
        <f t="shared" si="7"/>
        <v>14095.15625</v>
      </c>
      <c r="AK26" s="83">
        <v>4</v>
      </c>
      <c r="AL26" s="216">
        <f t="shared" si="8"/>
        <v>21478.333333333332</v>
      </c>
      <c r="AM26" s="83"/>
      <c r="AN26" s="216">
        <f t="shared" si="9"/>
        <v>0</v>
      </c>
      <c r="AO26" s="83"/>
      <c r="AP26" s="216">
        <f t="shared" si="10"/>
        <v>0</v>
      </c>
      <c r="AQ26" s="94">
        <v>120000</v>
      </c>
      <c r="AR26" s="94"/>
      <c r="AS26" s="94"/>
      <c r="AT26" s="153">
        <f t="shared" si="11"/>
        <v>227408.48958333331</v>
      </c>
      <c r="AU26" s="216">
        <f t="shared" si="12"/>
        <v>8800.3395833333325</v>
      </c>
      <c r="AV26" s="216">
        <f t="shared" si="13"/>
        <v>8800.3395833333325</v>
      </c>
      <c r="AW26" s="87"/>
      <c r="AX26" s="216">
        <f t="shared" si="14"/>
        <v>0</v>
      </c>
      <c r="AY26" s="216">
        <f t="shared" si="15"/>
        <v>17600.679166666665</v>
      </c>
      <c r="AZ26" s="218">
        <f t="shared" si="16"/>
        <v>209807.81041666665</v>
      </c>
    </row>
    <row r="27" spans="1:69" ht="28.5" x14ac:dyDescent="0.2">
      <c r="A27" s="90">
        <v>21</v>
      </c>
      <c r="B27" s="91">
        <v>71350583</v>
      </c>
      <c r="C27" s="104" t="s">
        <v>63</v>
      </c>
      <c r="D27" s="96" t="s">
        <v>75</v>
      </c>
      <c r="E27" s="107"/>
      <c r="F27" s="107" t="s">
        <v>160</v>
      </c>
      <c r="G27" s="81">
        <v>41839</v>
      </c>
      <c r="H27" s="102" t="s">
        <v>161</v>
      </c>
      <c r="I27" s="126">
        <v>644350</v>
      </c>
      <c r="J27" s="215">
        <v>25</v>
      </c>
      <c r="K27" s="126">
        <f t="shared" si="17"/>
        <v>536958.33333333337</v>
      </c>
      <c r="L27" s="216">
        <f t="shared" si="18"/>
        <v>61666.666666666664</v>
      </c>
      <c r="M27" s="83"/>
      <c r="N27" s="216">
        <f t="shared" si="0"/>
        <v>0</v>
      </c>
      <c r="O27" s="83"/>
      <c r="P27" s="217">
        <f t="shared" si="19"/>
        <v>0</v>
      </c>
      <c r="Q27" s="83">
        <v>5</v>
      </c>
      <c r="R27" s="83"/>
      <c r="S27" s="83"/>
      <c r="T27" s="216">
        <f t="shared" si="22"/>
        <v>0</v>
      </c>
      <c r="U27" s="83"/>
      <c r="V27" s="216">
        <f t="shared" si="1"/>
        <v>0</v>
      </c>
      <c r="W27" s="83"/>
      <c r="X27" s="216">
        <f t="shared" si="2"/>
        <v>0</v>
      </c>
      <c r="Y27" s="83"/>
      <c r="Z27" s="216">
        <f t="shared" si="3"/>
        <v>0</v>
      </c>
      <c r="AA27" s="84">
        <v>1</v>
      </c>
      <c r="AB27" s="216">
        <f t="shared" si="20"/>
        <v>2684.7916666666665</v>
      </c>
      <c r="AC27" s="83"/>
      <c r="AD27" s="216">
        <f t="shared" si="4"/>
        <v>0</v>
      </c>
      <c r="AE27" s="83"/>
      <c r="AF27" s="216">
        <f t="shared" si="5"/>
        <v>0</v>
      </c>
      <c r="AG27" s="83"/>
      <c r="AH27" s="216">
        <f t="shared" si="6"/>
        <v>0</v>
      </c>
      <c r="AI27" s="83"/>
      <c r="AJ27" s="216">
        <f t="shared" si="7"/>
        <v>0</v>
      </c>
      <c r="AK27" s="83">
        <v>4</v>
      </c>
      <c r="AL27" s="216">
        <f t="shared" si="8"/>
        <v>21478.333333333332</v>
      </c>
      <c r="AM27" s="83">
        <v>2</v>
      </c>
      <c r="AN27" s="216">
        <f t="shared" si="9"/>
        <v>13423.958333333334</v>
      </c>
      <c r="AO27" s="83"/>
      <c r="AP27" s="216">
        <f t="shared" si="10"/>
        <v>0</v>
      </c>
      <c r="AQ27" s="94"/>
      <c r="AR27" s="94"/>
      <c r="AS27" s="94"/>
      <c r="AT27" s="153">
        <f t="shared" si="11"/>
        <v>633527.29166666674</v>
      </c>
      <c r="AU27" s="216">
        <f t="shared" si="12"/>
        <v>22874.425000000007</v>
      </c>
      <c r="AV27" s="216">
        <f t="shared" si="13"/>
        <v>22874.425000000007</v>
      </c>
      <c r="AW27" s="87">
        <v>50000</v>
      </c>
      <c r="AX27" s="216">
        <f t="shared" si="14"/>
        <v>0</v>
      </c>
      <c r="AY27" s="216">
        <f t="shared" si="15"/>
        <v>95748.85</v>
      </c>
      <c r="AZ27" s="218">
        <f t="shared" si="16"/>
        <v>537778.44166666677</v>
      </c>
    </row>
    <row r="28" spans="1:69" ht="28.5" x14ac:dyDescent="0.2">
      <c r="A28" s="90">
        <v>22</v>
      </c>
      <c r="B28" s="91">
        <v>70583127</v>
      </c>
      <c r="C28" s="104" t="s">
        <v>64</v>
      </c>
      <c r="D28" s="105" t="s">
        <v>76</v>
      </c>
      <c r="E28" s="107"/>
      <c r="F28" s="107" t="s">
        <v>160</v>
      </c>
      <c r="G28" s="81">
        <v>41690</v>
      </c>
      <c r="H28" s="102" t="s">
        <v>161</v>
      </c>
      <c r="I28" s="126">
        <v>644350</v>
      </c>
      <c r="J28" s="215">
        <v>30</v>
      </c>
      <c r="K28" s="126">
        <f t="shared" si="17"/>
        <v>644350</v>
      </c>
      <c r="L28" s="216">
        <f t="shared" si="18"/>
        <v>74000</v>
      </c>
      <c r="M28" s="83"/>
      <c r="N28" s="216">
        <f t="shared" si="0"/>
        <v>0</v>
      </c>
      <c r="O28" s="83"/>
      <c r="P28" s="217">
        <f t="shared" si="19"/>
        <v>0</v>
      </c>
      <c r="Q28" s="83"/>
      <c r="R28" s="83"/>
      <c r="S28" s="83"/>
      <c r="T28" s="216">
        <f t="shared" si="22"/>
        <v>0</v>
      </c>
      <c r="U28" s="83"/>
      <c r="V28" s="216">
        <f t="shared" si="1"/>
        <v>0</v>
      </c>
      <c r="W28" s="83"/>
      <c r="X28" s="216">
        <f t="shared" si="2"/>
        <v>0</v>
      </c>
      <c r="Y28" s="83"/>
      <c r="Z28" s="216">
        <f t="shared" si="3"/>
        <v>0</v>
      </c>
      <c r="AA28" s="84">
        <v>1</v>
      </c>
      <c r="AB28" s="216">
        <f t="shared" si="20"/>
        <v>2684.7916666666665</v>
      </c>
      <c r="AC28" s="83">
        <v>10</v>
      </c>
      <c r="AD28" s="216">
        <f t="shared" si="4"/>
        <v>9396.7708333333339</v>
      </c>
      <c r="AE28" s="83"/>
      <c r="AF28" s="216">
        <f t="shared" si="5"/>
        <v>0</v>
      </c>
      <c r="AG28" s="83"/>
      <c r="AH28" s="216">
        <f t="shared" si="6"/>
        <v>0</v>
      </c>
      <c r="AI28" s="83"/>
      <c r="AJ28" s="216">
        <f t="shared" si="7"/>
        <v>0</v>
      </c>
      <c r="AK28" s="83"/>
      <c r="AL28" s="216">
        <f t="shared" si="8"/>
        <v>0</v>
      </c>
      <c r="AM28" s="83"/>
      <c r="AN28" s="216">
        <f t="shared" si="9"/>
        <v>0</v>
      </c>
      <c r="AO28" s="83"/>
      <c r="AP28" s="216">
        <f t="shared" si="10"/>
        <v>0</v>
      </c>
      <c r="AQ28" s="94">
        <v>50000</v>
      </c>
      <c r="AR28" s="94"/>
      <c r="AS28" s="94"/>
      <c r="AT28" s="153">
        <f t="shared" si="11"/>
        <v>777746.77083333337</v>
      </c>
      <c r="AU28" s="216">
        <f t="shared" si="12"/>
        <v>28149.870833333334</v>
      </c>
      <c r="AV28" s="216">
        <f t="shared" si="13"/>
        <v>28149.870833333334</v>
      </c>
      <c r="AW28" s="87"/>
      <c r="AX28" s="216">
        <f t="shared" si="14"/>
        <v>0</v>
      </c>
      <c r="AY28" s="216">
        <f t="shared" si="15"/>
        <v>56299.741666666669</v>
      </c>
      <c r="AZ28" s="218">
        <f t="shared" si="16"/>
        <v>721447.02916666667</v>
      </c>
    </row>
    <row r="29" spans="1:69" ht="27" customHeight="1" x14ac:dyDescent="0.2">
      <c r="A29" s="90"/>
      <c r="B29" s="91"/>
      <c r="C29" s="98"/>
      <c r="D29" s="99"/>
      <c r="E29" s="92"/>
      <c r="F29" s="92"/>
      <c r="G29" s="93"/>
      <c r="H29" s="103"/>
      <c r="I29" s="82"/>
      <c r="J29" s="215"/>
      <c r="K29" s="82"/>
      <c r="L29" s="215"/>
      <c r="M29" s="83"/>
      <c r="N29" s="215"/>
      <c r="O29" s="83"/>
      <c r="P29" s="215"/>
      <c r="Q29" s="83"/>
      <c r="R29" s="83"/>
      <c r="S29" s="83"/>
      <c r="T29" s="215"/>
      <c r="U29" s="83"/>
      <c r="V29" s="215"/>
      <c r="W29" s="83"/>
      <c r="X29" s="215"/>
      <c r="Y29" s="83"/>
      <c r="Z29" s="215"/>
      <c r="AA29" s="84"/>
      <c r="AB29" s="215"/>
      <c r="AC29" s="83"/>
      <c r="AD29" s="215"/>
      <c r="AE29" s="83"/>
      <c r="AF29" s="215"/>
      <c r="AG29" s="83"/>
      <c r="AH29" s="215"/>
      <c r="AI29" s="83"/>
      <c r="AJ29" s="215"/>
      <c r="AK29" s="83"/>
      <c r="AL29" s="215"/>
      <c r="AM29" s="83"/>
      <c r="AN29" s="215"/>
      <c r="AO29" s="83"/>
      <c r="AP29" s="215"/>
      <c r="AQ29" s="94"/>
      <c r="AR29" s="94"/>
      <c r="AS29" s="94"/>
      <c r="AT29" s="86"/>
      <c r="AU29" s="215"/>
      <c r="AV29" s="215"/>
      <c r="AW29" s="87"/>
      <c r="AX29" s="215"/>
      <c r="AY29" s="215"/>
      <c r="AZ29" s="215"/>
    </row>
    <row r="30" spans="1:69" ht="29.25" customHeight="1" x14ac:dyDescent="0.2">
      <c r="A30" s="90"/>
      <c r="B30" s="91"/>
      <c r="C30" s="98"/>
      <c r="D30" s="99"/>
      <c r="E30" s="92"/>
      <c r="F30" s="92"/>
      <c r="G30" s="93"/>
      <c r="H30" s="103"/>
      <c r="I30" s="82"/>
      <c r="J30" s="215"/>
      <c r="K30" s="82"/>
      <c r="L30" s="215"/>
      <c r="M30" s="83"/>
      <c r="N30" s="215"/>
      <c r="O30" s="83"/>
      <c r="P30" s="215"/>
      <c r="Q30" s="83"/>
      <c r="R30" s="83"/>
      <c r="S30" s="83"/>
      <c r="T30" s="215"/>
      <c r="U30" s="83"/>
      <c r="V30" s="215"/>
      <c r="W30" s="83"/>
      <c r="X30" s="215"/>
      <c r="Y30" s="83"/>
      <c r="Z30" s="215"/>
      <c r="AA30" s="84"/>
      <c r="AB30" s="215"/>
      <c r="AC30" s="83"/>
      <c r="AD30" s="215"/>
      <c r="AE30" s="83"/>
      <c r="AF30" s="215"/>
      <c r="AG30" s="83"/>
      <c r="AH30" s="215"/>
      <c r="AI30" s="83"/>
      <c r="AJ30" s="215"/>
      <c r="AK30" s="83"/>
      <c r="AL30" s="215"/>
      <c r="AM30" s="83"/>
      <c r="AN30" s="215"/>
      <c r="AO30" s="83"/>
      <c r="AP30" s="215"/>
      <c r="AQ30" s="94"/>
      <c r="AR30" s="94"/>
      <c r="AS30" s="94"/>
      <c r="AT30" s="86"/>
      <c r="AU30" s="215"/>
      <c r="AV30" s="215"/>
      <c r="AW30" s="87"/>
      <c r="AX30" s="215"/>
      <c r="AY30" s="215"/>
      <c r="AZ30" s="215"/>
    </row>
    <row r="31" spans="1:69" s="168" customFormat="1" ht="36.75" customHeight="1" x14ac:dyDescent="0.25">
      <c r="A31" s="289" t="s">
        <v>23</v>
      </c>
      <c r="B31" s="289"/>
      <c r="C31" s="289"/>
      <c r="D31" s="289"/>
      <c r="E31" s="166"/>
      <c r="F31" s="166"/>
      <c r="G31" s="166"/>
      <c r="H31" s="166"/>
      <c r="I31" s="167">
        <f>SUM(I7:I30)</f>
        <v>17351376</v>
      </c>
      <c r="J31" s="167"/>
      <c r="K31" s="167">
        <f>SUM(K7:K30)</f>
        <v>13567312.633333335</v>
      </c>
      <c r="L31" s="167">
        <f t="shared" ref="L31:AY31" si="23">SUM(L7:L30)</f>
        <v>1151933.3333333333</v>
      </c>
      <c r="M31" s="167">
        <f t="shared" si="23"/>
        <v>36</v>
      </c>
      <c r="N31" s="167">
        <f t="shared" si="23"/>
        <v>848266.93333333335</v>
      </c>
      <c r="O31" s="167">
        <f t="shared" si="23"/>
        <v>25</v>
      </c>
      <c r="P31" s="167">
        <f t="shared" si="23"/>
        <v>673560.83333333337</v>
      </c>
      <c r="Q31" s="167">
        <f t="shared" si="23"/>
        <v>5</v>
      </c>
      <c r="R31" s="167">
        <f t="shared" si="23"/>
        <v>0</v>
      </c>
      <c r="S31" s="167">
        <f t="shared" si="23"/>
        <v>30</v>
      </c>
      <c r="T31" s="167">
        <f t="shared" si="23"/>
        <v>683011</v>
      </c>
      <c r="U31" s="167">
        <f t="shared" si="23"/>
        <v>5</v>
      </c>
      <c r="V31" s="167">
        <f t="shared" si="23"/>
        <v>107391.66666666667</v>
      </c>
      <c r="W31" s="167">
        <f t="shared" si="23"/>
        <v>0</v>
      </c>
      <c r="X31" s="167">
        <f t="shared" si="23"/>
        <v>0</v>
      </c>
      <c r="Y31" s="167">
        <f t="shared" si="23"/>
        <v>30</v>
      </c>
      <c r="Z31" s="167">
        <f t="shared" si="23"/>
        <v>644350</v>
      </c>
      <c r="AA31" s="167"/>
      <c r="AB31" s="167">
        <f t="shared" si="23"/>
        <v>72297.399999999994</v>
      </c>
      <c r="AC31" s="167">
        <f t="shared" si="23"/>
        <v>58</v>
      </c>
      <c r="AD31" s="167">
        <f t="shared" si="23"/>
        <v>67962.970833333326</v>
      </c>
      <c r="AE31" s="167">
        <f t="shared" si="23"/>
        <v>0</v>
      </c>
      <c r="AF31" s="167">
        <f t="shared" si="23"/>
        <v>0</v>
      </c>
      <c r="AG31" s="167">
        <f t="shared" si="23"/>
        <v>20</v>
      </c>
      <c r="AH31" s="167">
        <f t="shared" si="23"/>
        <v>83811.041666666657</v>
      </c>
      <c r="AI31" s="167">
        <f t="shared" si="23"/>
        <v>15</v>
      </c>
      <c r="AJ31" s="167">
        <f t="shared" si="23"/>
        <v>91032.59375</v>
      </c>
      <c r="AK31" s="167">
        <f t="shared" si="23"/>
        <v>54</v>
      </c>
      <c r="AL31" s="167">
        <f t="shared" si="23"/>
        <v>343733.22499999992</v>
      </c>
      <c r="AM31" s="167">
        <f t="shared" si="23"/>
        <v>8</v>
      </c>
      <c r="AN31" s="167">
        <f t="shared" si="23"/>
        <v>68379.270833333328</v>
      </c>
      <c r="AO31" s="167">
        <f t="shared" si="23"/>
        <v>0</v>
      </c>
      <c r="AP31" s="167">
        <f t="shared" si="23"/>
        <v>0</v>
      </c>
      <c r="AQ31" s="167">
        <f t="shared" si="23"/>
        <v>520000</v>
      </c>
      <c r="AR31" s="167">
        <f t="shared" si="23"/>
        <v>320000</v>
      </c>
      <c r="AS31" s="167">
        <f t="shared" si="23"/>
        <v>420000</v>
      </c>
      <c r="AT31" s="167">
        <f t="shared" si="23"/>
        <v>19590745.502083331</v>
      </c>
      <c r="AU31" s="167">
        <f t="shared" si="23"/>
        <v>737552.48675000004</v>
      </c>
      <c r="AV31" s="167">
        <f t="shared" si="23"/>
        <v>737552.48675000004</v>
      </c>
      <c r="AW31" s="167">
        <f t="shared" si="23"/>
        <v>480000</v>
      </c>
      <c r="AX31" s="167">
        <f t="shared" si="23"/>
        <v>0</v>
      </c>
      <c r="AY31" s="167">
        <f t="shared" si="23"/>
        <v>1955104.9734999998</v>
      </c>
      <c r="AZ31" s="167">
        <f>SUM(AZ7:AZ30)</f>
        <v>17635640.528583333</v>
      </c>
    </row>
    <row r="34" spans="1:31" x14ac:dyDescent="0.2">
      <c r="E34" s="73"/>
    </row>
    <row r="35" spans="1:31" x14ac:dyDescent="0.2">
      <c r="A35" s="76"/>
      <c r="C35" s="73"/>
      <c r="D35" s="78"/>
      <c r="E35" s="78"/>
      <c r="F35" s="73"/>
    </row>
    <row r="36" spans="1:31" ht="18" x14ac:dyDescent="0.25">
      <c r="A36" s="76"/>
      <c r="C36" s="73"/>
      <c r="D36" s="78"/>
      <c r="E36" s="78"/>
      <c r="F36" s="73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</row>
    <row r="37" spans="1:31" s="157" customFormat="1" ht="26.25" x14ac:dyDescent="0.4">
      <c r="B37" s="169" t="s">
        <v>24</v>
      </c>
      <c r="G37" s="253" t="s">
        <v>25</v>
      </c>
      <c r="H37" s="254"/>
      <c r="I37" s="254"/>
      <c r="J37" s="254"/>
      <c r="K37" s="255"/>
      <c r="O37" s="261" t="s">
        <v>26</v>
      </c>
      <c r="P37" s="261"/>
      <c r="Q37" s="261"/>
      <c r="R37" s="261"/>
      <c r="S37" s="261"/>
      <c r="U37" s="158"/>
      <c r="V37" s="158"/>
      <c r="W37" s="158"/>
      <c r="X37" s="253" t="s">
        <v>27</v>
      </c>
      <c r="Y37" s="254"/>
      <c r="Z37" s="254"/>
      <c r="AA37" s="254"/>
      <c r="AB37" s="254"/>
      <c r="AC37" s="255"/>
      <c r="AD37" s="158"/>
      <c r="AE37" s="158"/>
    </row>
    <row r="38" spans="1:31" s="1" customFormat="1" ht="23.25" x14ac:dyDescent="0.35">
      <c r="B38" s="147"/>
      <c r="C38" s="157"/>
      <c r="G38" s="271" t="s">
        <v>28</v>
      </c>
      <c r="H38" s="272"/>
      <c r="I38" s="159">
        <v>8.5000000000000006E-2</v>
      </c>
      <c r="J38" s="263"/>
      <c r="K38" s="264"/>
      <c r="O38" s="271" t="s">
        <v>29</v>
      </c>
      <c r="P38" s="272"/>
      <c r="Q38" s="160">
        <v>0.04</v>
      </c>
      <c r="R38" s="263">
        <f>B43*Q38</f>
        <v>737552.48675000004</v>
      </c>
      <c r="S38" s="264"/>
      <c r="U38" s="158"/>
      <c r="V38" s="158"/>
      <c r="W38" s="158"/>
      <c r="X38" s="162" t="s">
        <v>30</v>
      </c>
      <c r="Y38" s="165"/>
      <c r="Z38" s="269">
        <v>8.3299999999999999E-2</v>
      </c>
      <c r="AA38" s="270"/>
      <c r="AB38" s="263">
        <f>AT31*Z38</f>
        <v>1631909.1003235416</v>
      </c>
      <c r="AC38" s="264"/>
      <c r="AD38" s="158"/>
      <c r="AE38" s="158"/>
    </row>
    <row r="39" spans="1:31" s="1" customFormat="1" ht="22.5" customHeight="1" x14ac:dyDescent="0.3">
      <c r="B39" s="260">
        <f>AT31-L31</f>
        <v>18438812.168749999</v>
      </c>
      <c r="C39" s="260"/>
      <c r="G39" s="271" t="s">
        <v>31</v>
      </c>
      <c r="H39" s="272"/>
      <c r="I39" s="160">
        <v>0.12</v>
      </c>
      <c r="J39" s="263">
        <f>B39*I39</f>
        <v>2212657.46025</v>
      </c>
      <c r="K39" s="264"/>
      <c r="O39" s="271" t="s">
        <v>32</v>
      </c>
      <c r="P39" s="272"/>
      <c r="Q39" s="160">
        <v>0.03</v>
      </c>
      <c r="R39" s="263">
        <f>B43*Q39</f>
        <v>553164.3650625</v>
      </c>
      <c r="S39" s="264"/>
      <c r="U39" s="158"/>
      <c r="V39" s="158"/>
      <c r="W39" s="158"/>
      <c r="X39" s="162" t="s">
        <v>33</v>
      </c>
      <c r="Y39" s="160"/>
      <c r="Z39" s="274">
        <v>0.01</v>
      </c>
      <c r="AA39" s="275"/>
      <c r="AB39" s="263">
        <f>AT31*Z39</f>
        <v>195907.45502083332</v>
      </c>
      <c r="AC39" s="264"/>
      <c r="AD39" s="158"/>
      <c r="AE39" s="158"/>
    </row>
    <row r="40" spans="1:31" s="1" customFormat="1" ht="18.75" x14ac:dyDescent="0.3">
      <c r="D40" s="158"/>
      <c r="E40" s="158"/>
      <c r="G40" s="271" t="s">
        <v>35</v>
      </c>
      <c r="H40" s="272"/>
      <c r="I40" s="161">
        <v>1.044E-2</v>
      </c>
      <c r="J40" s="263">
        <f>B39*I40</f>
        <v>192501.19904174999</v>
      </c>
      <c r="K40" s="264"/>
      <c r="O40" s="271" t="s">
        <v>36</v>
      </c>
      <c r="P40" s="272"/>
      <c r="Q40" s="160">
        <v>0.02</v>
      </c>
      <c r="R40" s="263">
        <f>B43*Q40</f>
        <v>368776.24337500002</v>
      </c>
      <c r="S40" s="273"/>
      <c r="U40" s="158"/>
      <c r="V40" s="158"/>
      <c r="W40" s="158"/>
      <c r="X40" s="162" t="s">
        <v>37</v>
      </c>
      <c r="Y40" s="165"/>
      <c r="Z40" s="269">
        <v>8.3299999999999999E-2</v>
      </c>
      <c r="AA40" s="270"/>
      <c r="AB40" s="263">
        <f>AT31*Z40</f>
        <v>1631909.1003235416</v>
      </c>
      <c r="AC40" s="264"/>
      <c r="AD40" s="158"/>
      <c r="AE40" s="158"/>
    </row>
    <row r="41" spans="1:31" s="1" customFormat="1" ht="26.25" customHeight="1" x14ac:dyDescent="0.4">
      <c r="B41" s="170" t="s">
        <v>34</v>
      </c>
      <c r="C41" s="158"/>
      <c r="G41" s="256" t="s">
        <v>23</v>
      </c>
      <c r="H41" s="257"/>
      <c r="I41" s="258"/>
      <c r="J41" s="265">
        <f>SUM(J38:K40)</f>
        <v>2405158.6592917498</v>
      </c>
      <c r="K41" s="266"/>
      <c r="O41" s="267" t="s">
        <v>23</v>
      </c>
      <c r="P41" s="267"/>
      <c r="Q41" s="268">
        <f>SUM(R38:S40)</f>
        <v>1659493.0951875001</v>
      </c>
      <c r="R41" s="268"/>
      <c r="S41" s="266"/>
      <c r="U41" s="158"/>
      <c r="V41" s="158"/>
      <c r="W41" s="158"/>
      <c r="X41" s="162" t="s">
        <v>38</v>
      </c>
      <c r="Y41" s="165"/>
      <c r="Z41" s="269">
        <v>4.1700000000000001E-2</v>
      </c>
      <c r="AA41" s="270"/>
      <c r="AB41" s="263">
        <f>K31*Z41</f>
        <v>565756.9368100001</v>
      </c>
      <c r="AC41" s="264"/>
      <c r="AD41" s="158"/>
      <c r="AE41" s="158"/>
    </row>
    <row r="42" spans="1:31" s="1" customFormat="1" ht="23.25" customHeight="1" x14ac:dyDescent="0.35">
      <c r="B42" s="156"/>
      <c r="C42" s="158"/>
      <c r="U42" s="158"/>
      <c r="V42" s="158"/>
      <c r="W42" s="158"/>
      <c r="X42" s="256" t="s">
        <v>23</v>
      </c>
      <c r="Y42" s="257"/>
      <c r="Z42" s="257"/>
      <c r="AA42" s="258"/>
      <c r="AB42" s="259">
        <f>SUM(AB38:AC41)</f>
        <v>4025482.5924779167</v>
      </c>
      <c r="AC42" s="259"/>
      <c r="AD42" s="158"/>
      <c r="AE42" s="158"/>
    </row>
    <row r="43" spans="1:31" s="1" customFormat="1" ht="18.75" x14ac:dyDescent="0.3">
      <c r="B43" s="260">
        <f>AT31-L31</f>
        <v>18438812.168749999</v>
      </c>
      <c r="C43" s="260"/>
      <c r="U43" s="164"/>
      <c r="V43" s="164"/>
      <c r="W43" s="164"/>
      <c r="X43" s="158"/>
      <c r="Y43" s="158"/>
      <c r="Z43" s="158"/>
      <c r="AA43" s="158"/>
      <c r="AB43" s="158"/>
      <c r="AC43" s="158"/>
      <c r="AD43" s="158"/>
      <c r="AE43" s="158"/>
    </row>
    <row r="44" spans="1:31" ht="18" x14ac:dyDescent="0.25">
      <c r="A44" s="76"/>
      <c r="B44" s="1"/>
      <c r="C44" s="1"/>
      <c r="D44" s="78"/>
      <c r="E44" s="78"/>
      <c r="F44" s="73"/>
      <c r="U44" s="164"/>
      <c r="V44" s="164"/>
      <c r="W44" s="164"/>
      <c r="X44" s="164"/>
      <c r="Y44" s="164"/>
      <c r="Z44" s="164"/>
    </row>
    <row r="45" spans="1:31" ht="23.25" x14ac:dyDescent="0.35">
      <c r="B45" s="1"/>
      <c r="C45" s="1"/>
      <c r="E45" s="73"/>
      <c r="O45" s="261" t="s">
        <v>39</v>
      </c>
      <c r="P45" s="261"/>
      <c r="Q45" s="261"/>
      <c r="R45" s="261"/>
      <c r="S45" s="261"/>
      <c r="T45" s="262">
        <f>AZ31+J41+Q41+AB42</f>
        <v>25725774.875540502</v>
      </c>
      <c r="U45" s="262"/>
      <c r="V45" s="262"/>
      <c r="W45" s="163"/>
      <c r="X45" s="163"/>
      <c r="Y45" s="163"/>
      <c r="Z45" s="163"/>
      <c r="AA45" s="163"/>
      <c r="AB45" s="163"/>
      <c r="AC45" s="163"/>
      <c r="AD45" s="163"/>
    </row>
    <row r="46" spans="1:31" ht="20.25" x14ac:dyDescent="0.3">
      <c r="T46" s="163"/>
      <c r="U46" s="163"/>
      <c r="V46" s="163"/>
      <c r="W46" s="163"/>
      <c r="X46" s="163"/>
      <c r="Y46" s="163"/>
      <c r="Z46" s="163"/>
      <c r="AA46" s="163"/>
      <c r="AB46" s="163"/>
      <c r="AC46" s="163"/>
    </row>
  </sheetData>
  <mergeCells count="80">
    <mergeCell ref="A1:AZ1"/>
    <mergeCell ref="A4:D4"/>
    <mergeCell ref="I4:AT4"/>
    <mergeCell ref="AU4:AY4"/>
    <mergeCell ref="A5:A6"/>
    <mergeCell ref="B5:B6"/>
    <mergeCell ref="C5:C6"/>
    <mergeCell ref="D5:D6"/>
    <mergeCell ref="E5:F5"/>
    <mergeCell ref="G5:G6"/>
    <mergeCell ref="T5:T6"/>
    <mergeCell ref="H5:H6"/>
    <mergeCell ref="I5:I6"/>
    <mergeCell ref="J5:J6"/>
    <mergeCell ref="L5:L6"/>
    <mergeCell ref="M5:M6"/>
    <mergeCell ref="A31:D31"/>
    <mergeCell ref="AM5:AM6"/>
    <mergeCell ref="AO5:AO6"/>
    <mergeCell ref="AQ5:AQ6"/>
    <mergeCell ref="AR5:AR6"/>
    <mergeCell ref="AA5:AA6"/>
    <mergeCell ref="AC5:AC6"/>
    <mergeCell ref="AE5:AE6"/>
    <mergeCell ref="AG5:AG6"/>
    <mergeCell ref="AI5:AI6"/>
    <mergeCell ref="S5:S6"/>
    <mergeCell ref="AK5:AK6"/>
    <mergeCell ref="U5:U6"/>
    <mergeCell ref="V5:V6"/>
    <mergeCell ref="W5:W6"/>
    <mergeCell ref="X5:X6"/>
    <mergeCell ref="G41:I41"/>
    <mergeCell ref="AW5:AW6"/>
    <mergeCell ref="AX5:AX6"/>
    <mergeCell ref="AY5:AY6"/>
    <mergeCell ref="AZ5:AZ6"/>
    <mergeCell ref="AS5:AS6"/>
    <mergeCell ref="AT5:AT6"/>
    <mergeCell ref="Y5:Y6"/>
    <mergeCell ref="Z5:Z6"/>
    <mergeCell ref="N5:N6"/>
    <mergeCell ref="O5:O6"/>
    <mergeCell ref="P5:P6"/>
    <mergeCell ref="X37:AC37"/>
    <mergeCell ref="H3:J3"/>
    <mergeCell ref="R5:R6"/>
    <mergeCell ref="Q5:Q6"/>
    <mergeCell ref="K5:K6"/>
    <mergeCell ref="G38:H38"/>
    <mergeCell ref="G37:K37"/>
    <mergeCell ref="J38:K38"/>
    <mergeCell ref="B39:C39"/>
    <mergeCell ref="B43:C43"/>
    <mergeCell ref="O37:S37"/>
    <mergeCell ref="R38:S38"/>
    <mergeCell ref="R39:S39"/>
    <mergeCell ref="R40:S40"/>
    <mergeCell ref="O38:P38"/>
    <mergeCell ref="O39:P39"/>
    <mergeCell ref="O40:P40"/>
    <mergeCell ref="O41:P41"/>
    <mergeCell ref="Q41:S41"/>
    <mergeCell ref="G39:H39"/>
    <mergeCell ref="G40:H40"/>
    <mergeCell ref="J39:K39"/>
    <mergeCell ref="J40:K40"/>
    <mergeCell ref="J41:K41"/>
    <mergeCell ref="AB42:AC42"/>
    <mergeCell ref="X42:AA42"/>
    <mergeCell ref="O45:S45"/>
    <mergeCell ref="T45:V45"/>
    <mergeCell ref="Z38:AA38"/>
    <mergeCell ref="Z39:AA39"/>
    <mergeCell ref="Z40:AA40"/>
    <mergeCell ref="Z41:AA41"/>
    <mergeCell ref="AB38:AC38"/>
    <mergeCell ref="AB39:AC39"/>
    <mergeCell ref="AB40:AC40"/>
    <mergeCell ref="AB41:AC4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28"/>
  <sheetViews>
    <sheetView topLeftCell="A4" workbookViewId="0">
      <selection activeCell="D26" sqref="D26"/>
    </sheetView>
  </sheetViews>
  <sheetFormatPr baseColWidth="10" defaultRowHeight="15" x14ac:dyDescent="0.25"/>
  <cols>
    <col min="4" max="4" width="27.5703125" bestFit="1" customWidth="1"/>
  </cols>
  <sheetData>
    <row r="1" spans="1:207" ht="15.75" x14ac:dyDescent="0.25">
      <c r="A1" s="290" t="s">
        <v>132</v>
      </c>
      <c r="B1" s="291"/>
      <c r="C1" s="291"/>
      <c r="D1" s="291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7"/>
      <c r="GO1" s="57"/>
      <c r="GP1" s="57"/>
      <c r="GQ1" s="57"/>
      <c r="GR1" s="57"/>
      <c r="GS1" s="57"/>
      <c r="GT1" s="57"/>
      <c r="GU1" s="57"/>
      <c r="GV1" s="57"/>
      <c r="GW1" s="57"/>
      <c r="GX1" s="57"/>
      <c r="GY1" s="57"/>
    </row>
    <row r="2" spans="1:207" ht="22.5" x14ac:dyDescent="0.25">
      <c r="A2" s="58" t="s">
        <v>84</v>
      </c>
      <c r="B2" s="59" t="s">
        <v>133</v>
      </c>
      <c r="C2" s="59" t="s">
        <v>134</v>
      </c>
      <c r="D2" s="60" t="s">
        <v>135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</row>
    <row r="3" spans="1:207" x14ac:dyDescent="0.25">
      <c r="A3" s="292" t="s">
        <v>136</v>
      </c>
      <c r="B3" s="56">
        <v>42261</v>
      </c>
      <c r="C3" s="56"/>
      <c r="D3" s="61" t="s">
        <v>137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</row>
    <row r="4" spans="1:207" x14ac:dyDescent="0.25">
      <c r="A4" s="293"/>
      <c r="B4" s="56">
        <v>42272</v>
      </c>
      <c r="C4" s="120">
        <v>42285</v>
      </c>
      <c r="D4" s="61" t="s">
        <v>138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</row>
    <row r="5" spans="1:207" x14ac:dyDescent="0.25">
      <c r="A5" s="293"/>
      <c r="B5" s="56">
        <v>42269</v>
      </c>
      <c r="C5" s="120">
        <v>42281</v>
      </c>
      <c r="D5" s="61" t="s">
        <v>138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</row>
    <row r="6" spans="1:207" x14ac:dyDescent="0.25">
      <c r="A6" s="293"/>
      <c r="B6" s="120">
        <v>42278</v>
      </c>
      <c r="C6" s="120">
        <v>42302</v>
      </c>
      <c r="D6" s="121" t="s">
        <v>139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</row>
    <row r="7" spans="1:207" x14ac:dyDescent="0.25">
      <c r="A7" s="293"/>
      <c r="B7" s="120">
        <v>42280</v>
      </c>
      <c r="C7" s="120"/>
      <c r="D7" s="121" t="s">
        <v>140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</row>
    <row r="8" spans="1:207" x14ac:dyDescent="0.25">
      <c r="A8" s="293"/>
      <c r="B8" s="120" t="s">
        <v>141</v>
      </c>
      <c r="C8" s="120"/>
      <c r="D8" s="122" t="s">
        <v>142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</row>
    <row r="9" spans="1:207" x14ac:dyDescent="0.25">
      <c r="A9" s="293"/>
      <c r="B9" s="120">
        <v>42285</v>
      </c>
      <c r="C9" s="120">
        <v>42298</v>
      </c>
      <c r="D9" s="121" t="s">
        <v>138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</row>
    <row r="10" spans="1:207" x14ac:dyDescent="0.25">
      <c r="A10" s="293"/>
      <c r="B10" s="120">
        <v>42286</v>
      </c>
      <c r="C10" s="120">
        <v>42290</v>
      </c>
      <c r="D10" s="121" t="s">
        <v>143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</row>
    <row r="11" spans="1:207" x14ac:dyDescent="0.25">
      <c r="A11" s="293"/>
      <c r="B11" s="56">
        <v>42269</v>
      </c>
      <c r="C11" s="120">
        <v>42287</v>
      </c>
      <c r="D11" s="61" t="s">
        <v>138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</row>
    <row r="12" spans="1:207" x14ac:dyDescent="0.25">
      <c r="A12" s="293"/>
      <c r="B12" s="120">
        <v>42285</v>
      </c>
      <c r="C12" s="120"/>
      <c r="D12" s="121" t="s">
        <v>96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GW12" s="54"/>
      <c r="GX12" s="54"/>
      <c r="GY12" s="54"/>
    </row>
    <row r="13" spans="1:207" x14ac:dyDescent="0.25">
      <c r="A13" s="293"/>
      <c r="B13" s="120">
        <v>42278</v>
      </c>
      <c r="C13" s="120"/>
      <c r="D13" s="121" t="s">
        <v>96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</row>
    <row r="14" spans="1:207" x14ac:dyDescent="0.25">
      <c r="A14" s="293"/>
      <c r="B14" s="64">
        <v>42277</v>
      </c>
      <c r="C14" s="125">
        <v>42282</v>
      </c>
      <c r="D14" s="65" t="s">
        <v>144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54"/>
      <c r="FG14" s="54"/>
      <c r="FH14" s="54"/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54"/>
      <c r="GW14" s="54"/>
      <c r="GX14" s="54"/>
      <c r="GY14" s="54"/>
    </row>
    <row r="15" spans="1:207" x14ac:dyDescent="0.25">
      <c r="A15" s="294"/>
      <c r="B15" s="296" t="s">
        <v>145</v>
      </c>
      <c r="C15" s="297"/>
      <c r="D15" s="298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54"/>
      <c r="FE15" s="54"/>
      <c r="FF15" s="54"/>
      <c r="FG15" s="54"/>
      <c r="FH15" s="54"/>
      <c r="FI15" s="54"/>
      <c r="FJ15" s="54"/>
      <c r="FK15" s="54"/>
      <c r="FL15" s="54"/>
      <c r="FM15" s="54"/>
      <c r="FN15" s="54"/>
      <c r="FO15" s="54"/>
      <c r="FP15" s="54"/>
      <c r="FQ15" s="54"/>
      <c r="FR15" s="54"/>
      <c r="FS15" s="54"/>
      <c r="FT15" s="54"/>
      <c r="FU15" s="54"/>
      <c r="FV15" s="54"/>
      <c r="FW15" s="54"/>
      <c r="FX15" s="54"/>
      <c r="FY15" s="54"/>
      <c r="FZ15" s="54"/>
      <c r="GA15" s="54"/>
      <c r="GB15" s="54"/>
      <c r="GC15" s="54"/>
      <c r="GD15" s="54"/>
      <c r="GE15" s="54"/>
      <c r="GF15" s="54"/>
      <c r="GG15" s="54"/>
      <c r="GH15" s="54"/>
      <c r="GI15" s="54"/>
      <c r="GJ15" s="54"/>
      <c r="GK15" s="54"/>
      <c r="GL15" s="54"/>
      <c r="GM15" s="54"/>
      <c r="GN15" s="54"/>
      <c r="GO15" s="54"/>
      <c r="GP15" s="54"/>
      <c r="GQ15" s="54"/>
      <c r="GR15" s="54"/>
      <c r="GS15" s="54"/>
      <c r="GT15" s="54"/>
      <c r="GU15" s="54"/>
      <c r="GV15" s="54"/>
      <c r="GW15" s="54"/>
      <c r="GX15" s="54"/>
      <c r="GY15" s="54"/>
    </row>
    <row r="16" spans="1:207" x14ac:dyDescent="0.25">
      <c r="A16" s="294"/>
      <c r="B16" s="66">
        <v>58</v>
      </c>
      <c r="C16" s="67"/>
      <c r="D16" s="68" t="s">
        <v>146</v>
      </c>
      <c r="E16" s="54"/>
      <c r="F16" s="53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54"/>
      <c r="FE16" s="54"/>
      <c r="FF16" s="54"/>
      <c r="FG16" s="54"/>
      <c r="FH16" s="54"/>
      <c r="FI16" s="54"/>
      <c r="FJ16" s="54"/>
      <c r="FK16" s="54"/>
      <c r="FL16" s="54"/>
      <c r="FM16" s="54"/>
      <c r="FN16" s="54"/>
      <c r="FO16" s="54"/>
      <c r="FP16" s="54"/>
      <c r="FQ16" s="54"/>
      <c r="FR16" s="54"/>
      <c r="FS16" s="54"/>
      <c r="FT16" s="54"/>
      <c r="FU16" s="54"/>
      <c r="FV16" s="54"/>
      <c r="FW16" s="54"/>
      <c r="FX16" s="54"/>
      <c r="FY16" s="54"/>
      <c r="FZ16" s="54"/>
      <c r="GA16" s="54"/>
      <c r="GB16" s="54"/>
      <c r="GC16" s="54"/>
      <c r="GD16" s="54"/>
      <c r="GE16" s="54"/>
      <c r="GF16" s="54"/>
      <c r="GG16" s="54"/>
      <c r="GH16" s="54"/>
      <c r="GI16" s="54"/>
      <c r="GJ16" s="54"/>
      <c r="GK16" s="54"/>
      <c r="GL16" s="54"/>
      <c r="GM16" s="54"/>
      <c r="GN16" s="54"/>
      <c r="GO16" s="54"/>
      <c r="GP16" s="54"/>
      <c r="GQ16" s="54"/>
      <c r="GR16" s="54"/>
      <c r="GS16" s="54"/>
      <c r="GT16" s="54"/>
      <c r="GU16" s="54"/>
      <c r="GV16" s="54"/>
      <c r="GW16" s="54"/>
      <c r="GX16" s="54"/>
      <c r="GY16" s="54"/>
    </row>
    <row r="17" spans="1:207" x14ac:dyDescent="0.25">
      <c r="A17" s="294"/>
      <c r="B17" s="184">
        <v>36</v>
      </c>
      <c r="C17" s="56"/>
      <c r="D17" s="146" t="s">
        <v>147</v>
      </c>
      <c r="E17" s="54"/>
      <c r="F17" s="53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4"/>
      <c r="FG17" s="54"/>
      <c r="FH17" s="54"/>
      <c r="FI17" s="54"/>
      <c r="FJ17" s="54"/>
      <c r="FK17" s="54"/>
      <c r="FL17" s="54"/>
      <c r="FM17" s="54"/>
      <c r="FN17" s="54"/>
      <c r="FO17" s="54"/>
      <c r="FP17" s="54"/>
      <c r="FQ17" s="54"/>
      <c r="FR17" s="54"/>
      <c r="FS17" s="54"/>
      <c r="FT17" s="54"/>
      <c r="FU17" s="54"/>
      <c r="FV17" s="54"/>
      <c r="FW17" s="54"/>
      <c r="FX17" s="54"/>
      <c r="FY17" s="54"/>
      <c r="FZ17" s="54"/>
      <c r="GA17" s="54"/>
      <c r="GB17" s="54"/>
      <c r="GC17" s="54"/>
      <c r="GD17" s="54"/>
      <c r="GE17" s="54"/>
      <c r="GF17" s="54"/>
      <c r="GG17" s="54"/>
      <c r="GH17" s="54"/>
      <c r="GI17" s="54"/>
      <c r="GJ17" s="54"/>
      <c r="GK17" s="54"/>
      <c r="GL17" s="54"/>
      <c r="GM17" s="54"/>
      <c r="GN17" s="54"/>
      <c r="GO17" s="54"/>
      <c r="GP17" s="54"/>
      <c r="GQ17" s="54"/>
      <c r="GR17" s="54"/>
      <c r="GS17" s="54"/>
      <c r="GT17" s="54"/>
      <c r="GU17" s="54"/>
      <c r="GV17" s="54"/>
      <c r="GW17" s="54"/>
      <c r="GX17" s="54"/>
      <c r="GY17" s="54"/>
    </row>
    <row r="18" spans="1:207" x14ac:dyDescent="0.25">
      <c r="A18" s="294"/>
      <c r="B18" s="69">
        <v>20</v>
      </c>
      <c r="C18" s="56"/>
      <c r="D18" s="70" t="s">
        <v>148</v>
      </c>
      <c r="E18" s="54"/>
      <c r="F18" s="53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4"/>
      <c r="FG18" s="54"/>
      <c r="FH18" s="54"/>
      <c r="FI18" s="54"/>
      <c r="FJ18" s="54"/>
      <c r="FK18" s="54"/>
      <c r="FL18" s="54"/>
      <c r="FM18" s="54"/>
      <c r="FN18" s="54"/>
      <c r="FO18" s="54"/>
      <c r="FP18" s="54"/>
      <c r="FQ18" s="54"/>
      <c r="FR18" s="54"/>
      <c r="FS18" s="54"/>
      <c r="FT18" s="54"/>
      <c r="FU18" s="54"/>
      <c r="FV18" s="54"/>
      <c r="FW18" s="54"/>
      <c r="FX18" s="54"/>
      <c r="FY18" s="54"/>
      <c r="FZ18" s="54"/>
      <c r="GA18" s="54"/>
      <c r="GB18" s="54"/>
      <c r="GC18" s="54"/>
      <c r="GD18" s="54"/>
      <c r="GE18" s="54"/>
      <c r="GF18" s="54"/>
      <c r="GG18" s="54"/>
      <c r="GH18" s="54"/>
      <c r="GI18" s="54"/>
      <c r="GJ18" s="54"/>
      <c r="GK18" s="54"/>
      <c r="GL18" s="54"/>
      <c r="GM18" s="54"/>
      <c r="GN18" s="54"/>
      <c r="GO18" s="54"/>
      <c r="GP18" s="54"/>
      <c r="GQ18" s="54"/>
      <c r="GR18" s="54"/>
      <c r="GS18" s="54"/>
      <c r="GT18" s="54"/>
      <c r="GU18" s="54"/>
      <c r="GV18" s="54"/>
      <c r="GW18" s="54"/>
      <c r="GX18" s="54"/>
      <c r="GY18" s="54"/>
    </row>
    <row r="19" spans="1:207" x14ac:dyDescent="0.25">
      <c r="A19" s="294"/>
      <c r="B19" s="69">
        <v>15</v>
      </c>
      <c r="C19" s="56"/>
      <c r="D19" s="70" t="s">
        <v>149</v>
      </c>
      <c r="E19" s="54"/>
      <c r="F19" s="53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54"/>
      <c r="FE19" s="54"/>
      <c r="FF19" s="54"/>
      <c r="FG19" s="54"/>
      <c r="FH19" s="54"/>
      <c r="FI19" s="54"/>
      <c r="FJ19" s="54"/>
      <c r="FK19" s="54"/>
      <c r="FL19" s="54"/>
      <c r="FM19" s="54"/>
      <c r="FN19" s="54"/>
      <c r="FO19" s="54"/>
      <c r="FP19" s="54"/>
      <c r="FQ19" s="54"/>
      <c r="FR19" s="54"/>
      <c r="FS19" s="54"/>
      <c r="FT19" s="54"/>
      <c r="FU19" s="54"/>
      <c r="FV19" s="54"/>
      <c r="FW19" s="54"/>
      <c r="FX19" s="54"/>
      <c r="FY19" s="54"/>
      <c r="FZ19" s="54"/>
      <c r="GA19" s="54"/>
      <c r="GB19" s="54"/>
      <c r="GC19" s="54"/>
      <c r="GD19" s="54"/>
      <c r="GE19" s="54"/>
      <c r="GF19" s="54"/>
      <c r="GG19" s="54"/>
      <c r="GH19" s="54"/>
      <c r="GI19" s="54"/>
      <c r="GJ19" s="54"/>
      <c r="GK19" s="54"/>
      <c r="GL19" s="54"/>
      <c r="GM19" s="54"/>
      <c r="GN19" s="54"/>
      <c r="GO19" s="54"/>
      <c r="GP19" s="54"/>
      <c r="GQ19" s="54"/>
      <c r="GR19" s="54"/>
      <c r="GS19" s="54"/>
      <c r="GT19" s="54"/>
      <c r="GU19" s="54"/>
      <c r="GV19" s="54"/>
      <c r="GW19" s="54"/>
      <c r="GX19" s="54"/>
      <c r="GY19" s="54"/>
    </row>
    <row r="20" spans="1:207" x14ac:dyDescent="0.25">
      <c r="A20" s="294"/>
      <c r="B20" s="184">
        <v>18</v>
      </c>
      <c r="C20" s="56"/>
      <c r="D20" s="146" t="s">
        <v>150</v>
      </c>
      <c r="E20" s="54"/>
      <c r="F20" s="53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  <c r="FH20" s="54"/>
      <c r="FI20" s="54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54"/>
      <c r="FU20" s="54"/>
      <c r="FV20" s="54"/>
      <c r="FW20" s="54"/>
      <c r="FX20" s="54"/>
      <c r="FY20" s="54"/>
      <c r="FZ20" s="54"/>
      <c r="GA20" s="54"/>
      <c r="GB20" s="54"/>
      <c r="GC20" s="54"/>
      <c r="GD20" s="54"/>
      <c r="GE20" s="54"/>
      <c r="GF20" s="54"/>
      <c r="GG20" s="54"/>
      <c r="GH20" s="54"/>
      <c r="GI20" s="54"/>
      <c r="GJ20" s="54"/>
      <c r="GK20" s="54"/>
      <c r="GL20" s="54"/>
      <c r="GM20" s="54"/>
      <c r="GN20" s="54"/>
      <c r="GO20" s="54"/>
      <c r="GP20" s="54"/>
      <c r="GQ20" s="54"/>
      <c r="GR20" s="54"/>
      <c r="GS20" s="54"/>
      <c r="GT20" s="54"/>
      <c r="GU20" s="54"/>
      <c r="GV20" s="54"/>
      <c r="GW20" s="54"/>
      <c r="GX20" s="54"/>
      <c r="GY20" s="54"/>
    </row>
    <row r="21" spans="1:207" x14ac:dyDescent="0.25">
      <c r="A21" s="294"/>
      <c r="B21" s="69">
        <v>8</v>
      </c>
      <c r="C21" s="56"/>
      <c r="D21" s="70" t="s">
        <v>151</v>
      </c>
      <c r="E21" s="54"/>
      <c r="F21" s="53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4"/>
      <c r="FK21" s="54"/>
      <c r="FL21" s="54"/>
      <c r="FM21" s="54"/>
      <c r="FN21" s="54"/>
      <c r="FO21" s="54"/>
      <c r="FP21" s="54"/>
      <c r="FQ21" s="54"/>
      <c r="FR21" s="54"/>
      <c r="FS21" s="54"/>
      <c r="FT21" s="54"/>
      <c r="FU21" s="54"/>
      <c r="FV21" s="54"/>
      <c r="FW21" s="54"/>
      <c r="FX21" s="54"/>
      <c r="FY21" s="54"/>
      <c r="FZ21" s="54"/>
      <c r="GA21" s="54"/>
      <c r="GB21" s="54"/>
      <c r="GC21" s="54"/>
      <c r="GD21" s="54"/>
      <c r="GE21" s="54"/>
      <c r="GF21" s="54"/>
      <c r="GG21" s="54"/>
      <c r="GH21" s="54"/>
      <c r="GI21" s="54"/>
      <c r="GJ21" s="54"/>
      <c r="GK21" s="54"/>
      <c r="GL21" s="54"/>
      <c r="GM21" s="54"/>
      <c r="GN21" s="54"/>
      <c r="GO21" s="54"/>
      <c r="GP21" s="54"/>
      <c r="GQ21" s="54"/>
      <c r="GR21" s="54"/>
      <c r="GS21" s="54"/>
      <c r="GT21" s="54"/>
      <c r="GU21" s="54"/>
      <c r="GV21" s="54"/>
      <c r="GW21" s="54"/>
      <c r="GX21" s="54"/>
      <c r="GY21" s="54"/>
    </row>
    <row r="22" spans="1:207" x14ac:dyDescent="0.25">
      <c r="A22" s="293"/>
      <c r="B22" s="64"/>
      <c r="C22" s="64"/>
      <c r="D22" s="115" t="s">
        <v>152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  <c r="FH22" s="54"/>
      <c r="FI22" s="54"/>
      <c r="FJ22" s="54"/>
      <c r="FK22" s="54"/>
      <c r="FL22" s="54"/>
      <c r="FM22" s="54"/>
      <c r="FN22" s="54"/>
      <c r="FO22" s="54"/>
      <c r="FP22" s="54"/>
      <c r="FQ22" s="54"/>
      <c r="FR22" s="54"/>
      <c r="FS22" s="54"/>
      <c r="FT22" s="54"/>
      <c r="FU22" s="54"/>
      <c r="FV22" s="54"/>
      <c r="FW22" s="54"/>
      <c r="FX22" s="54"/>
      <c r="FY22" s="54"/>
      <c r="FZ22" s="54"/>
      <c r="GA22" s="54"/>
      <c r="GB22" s="54"/>
      <c r="GC22" s="54"/>
      <c r="GD22" s="54"/>
      <c r="GE22" s="54"/>
      <c r="GF22" s="54"/>
      <c r="GG22" s="54"/>
      <c r="GH22" s="54"/>
      <c r="GI22" s="54"/>
      <c r="GJ22" s="54"/>
      <c r="GK22" s="54"/>
      <c r="GL22" s="54"/>
      <c r="GM22" s="54"/>
      <c r="GN22" s="54"/>
      <c r="GO22" s="54"/>
      <c r="GP22" s="54"/>
      <c r="GQ22" s="54"/>
      <c r="GR22" s="54"/>
      <c r="GS22" s="54"/>
      <c r="GT22" s="54"/>
      <c r="GU22" s="54"/>
      <c r="GV22" s="54"/>
      <c r="GW22" s="54"/>
      <c r="GX22" s="54"/>
      <c r="GY22" s="54"/>
    </row>
    <row r="23" spans="1:207" x14ac:dyDescent="0.25">
      <c r="A23" s="293"/>
      <c r="B23" s="64"/>
      <c r="C23" s="64"/>
      <c r="D23" s="115" t="s">
        <v>153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4"/>
      <c r="FG23" s="54"/>
      <c r="FH23" s="54"/>
      <c r="FI23" s="54"/>
      <c r="FJ23" s="54"/>
      <c r="FK23" s="54"/>
      <c r="FL23" s="54"/>
      <c r="FM23" s="54"/>
      <c r="FN23" s="54"/>
      <c r="FO23" s="54"/>
      <c r="FP23" s="54"/>
      <c r="FQ23" s="54"/>
      <c r="FR23" s="54"/>
      <c r="FS23" s="54"/>
      <c r="FT23" s="54"/>
      <c r="FU23" s="54"/>
      <c r="FV23" s="54"/>
      <c r="FW23" s="54"/>
      <c r="FX23" s="54"/>
      <c r="FY23" s="54"/>
      <c r="FZ23" s="54"/>
      <c r="GA23" s="54"/>
      <c r="GB23" s="54"/>
      <c r="GC23" s="54"/>
      <c r="GD23" s="54"/>
      <c r="GE23" s="54"/>
      <c r="GF23" s="54"/>
      <c r="GG23" s="54"/>
      <c r="GH23" s="54"/>
      <c r="GI23" s="54"/>
      <c r="GJ23" s="54"/>
      <c r="GK23" s="54"/>
      <c r="GL23" s="54"/>
      <c r="GM23" s="54"/>
      <c r="GN23" s="54"/>
      <c r="GO23" s="54"/>
      <c r="GP23" s="54"/>
      <c r="GQ23" s="54"/>
      <c r="GR23" s="54"/>
      <c r="GS23" s="54"/>
      <c r="GT23" s="54"/>
      <c r="GU23" s="54"/>
      <c r="GV23" s="54"/>
      <c r="GW23" s="54"/>
      <c r="GX23" s="54"/>
      <c r="GY23" s="54"/>
    </row>
    <row r="24" spans="1:207" x14ac:dyDescent="0.25">
      <c r="A24" s="293"/>
      <c r="B24" s="64"/>
      <c r="C24" s="64"/>
      <c r="D24" s="115" t="s">
        <v>154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  <c r="FH24" s="54"/>
      <c r="FI24" s="54"/>
      <c r="FJ24" s="54"/>
      <c r="FK24" s="54"/>
      <c r="FL24" s="54"/>
      <c r="FM24" s="54"/>
      <c r="FN24" s="54"/>
      <c r="FO24" s="54"/>
      <c r="FP24" s="54"/>
      <c r="FQ24" s="54"/>
      <c r="FR24" s="54"/>
      <c r="FS24" s="54"/>
      <c r="FT24" s="54"/>
      <c r="FU24" s="54"/>
      <c r="FV24" s="54"/>
      <c r="FW24" s="54"/>
      <c r="FX24" s="54"/>
      <c r="FY24" s="54"/>
      <c r="FZ24" s="54"/>
      <c r="GA24" s="54"/>
      <c r="GB24" s="54"/>
      <c r="GC24" s="54"/>
      <c r="GD24" s="54"/>
      <c r="GE24" s="54"/>
      <c r="GF24" s="54"/>
      <c r="GG24" s="54"/>
      <c r="GH24" s="54"/>
      <c r="GI24" s="54"/>
      <c r="GJ24" s="54"/>
      <c r="GK24" s="54"/>
      <c r="GL24" s="54"/>
      <c r="GM24" s="54"/>
      <c r="GN24" s="54"/>
      <c r="GO24" s="54"/>
      <c r="GP24" s="54"/>
      <c r="GQ24" s="54"/>
      <c r="GR24" s="54"/>
      <c r="GS24" s="54"/>
      <c r="GT24" s="54"/>
      <c r="GU24" s="54"/>
      <c r="GV24" s="54"/>
      <c r="GW24" s="54"/>
      <c r="GX24" s="54"/>
      <c r="GY24" s="54"/>
    </row>
    <row r="25" spans="1:207" x14ac:dyDescent="0.25">
      <c r="A25" s="293"/>
      <c r="B25" s="64"/>
      <c r="C25" s="64"/>
      <c r="D25" s="115" t="s">
        <v>155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54"/>
      <c r="GH25" s="54"/>
      <c r="GI25" s="54"/>
      <c r="GJ25" s="54"/>
      <c r="GK25" s="54"/>
      <c r="GL25" s="54"/>
      <c r="GM25" s="54"/>
      <c r="GN25" s="54"/>
      <c r="GO25" s="54"/>
      <c r="GP25" s="54"/>
      <c r="GQ25" s="54"/>
      <c r="GR25" s="54"/>
      <c r="GS25" s="54"/>
      <c r="GT25" s="54"/>
      <c r="GU25" s="54"/>
      <c r="GV25" s="54"/>
      <c r="GW25" s="54"/>
      <c r="GX25" s="54"/>
      <c r="GY25" s="54"/>
    </row>
    <row r="26" spans="1:207" x14ac:dyDescent="0.25">
      <c r="A26" s="293"/>
      <c r="B26" s="64"/>
      <c r="C26" s="64"/>
      <c r="D26" s="65" t="s">
        <v>156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54"/>
      <c r="FE26" s="54"/>
      <c r="FF26" s="54"/>
      <c r="FG26" s="54"/>
      <c r="FH26" s="54"/>
      <c r="FI26" s="54"/>
      <c r="FJ26" s="54"/>
      <c r="FK26" s="54"/>
      <c r="FL26" s="54"/>
      <c r="FM26" s="54"/>
      <c r="FN26" s="54"/>
      <c r="FO26" s="54"/>
      <c r="FP26" s="54"/>
      <c r="FQ26" s="54"/>
      <c r="FR26" s="54"/>
      <c r="FS26" s="54"/>
      <c r="FT26" s="54"/>
      <c r="FU26" s="54"/>
      <c r="FV26" s="54"/>
      <c r="FW26" s="54"/>
      <c r="FX26" s="54"/>
      <c r="FY26" s="54"/>
      <c r="FZ26" s="54"/>
      <c r="GA26" s="54"/>
      <c r="GB26" s="54"/>
      <c r="GC26" s="54"/>
      <c r="GD26" s="54"/>
      <c r="GE26" s="54"/>
      <c r="GF26" s="54"/>
      <c r="GG26" s="54"/>
      <c r="GH26" s="54"/>
      <c r="GI26" s="54"/>
      <c r="GJ26" s="54"/>
      <c r="GK26" s="54"/>
      <c r="GL26" s="54"/>
      <c r="GM26" s="54"/>
      <c r="GN26" s="54"/>
      <c r="GO26" s="54"/>
      <c r="GP26" s="54"/>
      <c r="GQ26" s="54"/>
      <c r="GR26" s="54"/>
      <c r="GS26" s="54"/>
      <c r="GT26" s="54"/>
      <c r="GU26" s="54"/>
      <c r="GV26" s="54"/>
      <c r="GW26" s="54"/>
      <c r="GX26" s="54"/>
      <c r="GY26" s="54"/>
    </row>
    <row r="27" spans="1:207" x14ac:dyDescent="0.25">
      <c r="A27" s="293"/>
      <c r="B27" s="64"/>
      <c r="C27" s="64"/>
      <c r="D27" s="65" t="s">
        <v>157</v>
      </c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54"/>
      <c r="FE27" s="54"/>
      <c r="FF27" s="54"/>
      <c r="FG27" s="54"/>
      <c r="FH27" s="54"/>
      <c r="FI27" s="54"/>
      <c r="FJ27" s="54"/>
      <c r="FK27" s="54"/>
      <c r="FL27" s="54"/>
      <c r="FM27" s="54"/>
      <c r="FN27" s="54"/>
      <c r="FO27" s="54"/>
      <c r="FP27" s="54"/>
      <c r="FQ27" s="54"/>
      <c r="FR27" s="54"/>
      <c r="FS27" s="54"/>
      <c r="FT27" s="54"/>
      <c r="FU27" s="54"/>
      <c r="FV27" s="54"/>
      <c r="FW27" s="54"/>
      <c r="FX27" s="54"/>
      <c r="FY27" s="54"/>
      <c r="FZ27" s="54"/>
      <c r="GA27" s="54"/>
      <c r="GB27" s="54"/>
      <c r="GC27" s="54"/>
      <c r="GD27" s="54"/>
      <c r="GE27" s="54"/>
      <c r="GF27" s="54"/>
      <c r="GG27" s="54"/>
      <c r="GH27" s="54"/>
      <c r="GI27" s="54"/>
      <c r="GJ27" s="54"/>
      <c r="GK27" s="54"/>
      <c r="GL27" s="54"/>
      <c r="GM27" s="54"/>
      <c r="GN27" s="54"/>
      <c r="GO27" s="54"/>
      <c r="GP27" s="54"/>
      <c r="GQ27" s="54"/>
      <c r="GR27" s="54"/>
      <c r="GS27" s="54"/>
      <c r="GT27" s="54"/>
      <c r="GU27" s="54"/>
      <c r="GV27" s="54"/>
      <c r="GW27" s="54"/>
      <c r="GX27" s="54"/>
      <c r="GY27" s="54"/>
    </row>
    <row r="28" spans="1:207" x14ac:dyDescent="0.25">
      <c r="A28" s="295"/>
      <c r="B28" s="62"/>
      <c r="C28" s="62"/>
      <c r="D28" s="63" t="s">
        <v>158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  <c r="GK28" s="53"/>
      <c r="GL28" s="53"/>
      <c r="GM28" s="53"/>
      <c r="GN28" s="53"/>
      <c r="GO28" s="53"/>
      <c r="GP28" s="53"/>
      <c r="GQ28" s="53"/>
      <c r="GR28" s="53"/>
      <c r="GS28" s="53"/>
      <c r="GT28" s="53"/>
      <c r="GU28" s="53"/>
      <c r="GV28" s="53"/>
      <c r="GW28" s="53"/>
      <c r="GX28" s="53"/>
      <c r="GY28" s="53"/>
    </row>
  </sheetData>
  <mergeCells count="3">
    <mergeCell ref="A1:D1"/>
    <mergeCell ref="A3:A28"/>
    <mergeCell ref="B15:D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workbookViewId="0">
      <selection activeCell="B7" sqref="B7:I8"/>
    </sheetView>
  </sheetViews>
  <sheetFormatPr baseColWidth="10" defaultRowHeight="15" x14ac:dyDescent="0.25"/>
  <cols>
    <col min="1" max="1" width="11.85546875" customWidth="1"/>
    <col min="2" max="2" width="10" customWidth="1"/>
    <col min="3" max="3" width="11.140625" customWidth="1"/>
    <col min="4" max="4" width="11.42578125" customWidth="1"/>
    <col min="5" max="5" width="10.42578125" customWidth="1"/>
    <col min="6" max="6" width="11" customWidth="1"/>
    <col min="7" max="7" width="12.28515625" customWidth="1"/>
    <col min="8" max="8" width="7.85546875" customWidth="1"/>
    <col min="9" max="9" width="12.140625" customWidth="1"/>
    <col min="10" max="10" width="10.7109375" bestFit="1" customWidth="1"/>
    <col min="11" max="11" width="13.28515625" customWidth="1"/>
    <col min="12" max="12" width="8.5703125" customWidth="1"/>
    <col min="13" max="14" width="11.85546875" customWidth="1"/>
    <col min="15" max="15" width="11.7109375" customWidth="1"/>
    <col min="16" max="16" width="10.85546875" customWidth="1"/>
    <col min="17" max="17" width="10" customWidth="1"/>
  </cols>
  <sheetData>
    <row r="1" spans="1:17" s="208" customFormat="1" ht="54" customHeight="1" x14ac:dyDescent="0.25">
      <c r="A1" s="207" t="s">
        <v>214</v>
      </c>
      <c r="B1" s="207" t="s">
        <v>87</v>
      </c>
      <c r="C1" s="207" t="s">
        <v>191</v>
      </c>
      <c r="D1" s="207" t="s">
        <v>192</v>
      </c>
      <c r="E1" s="207" t="s">
        <v>216</v>
      </c>
      <c r="F1" s="207" t="s">
        <v>215</v>
      </c>
      <c r="G1" s="207" t="s">
        <v>193</v>
      </c>
      <c r="H1" s="207" t="s">
        <v>194</v>
      </c>
      <c r="I1" s="207" t="s">
        <v>195</v>
      </c>
      <c r="J1" s="207" t="s">
        <v>196</v>
      </c>
      <c r="K1" s="207" t="s">
        <v>197</v>
      </c>
      <c r="L1" s="207" t="s">
        <v>198</v>
      </c>
      <c r="M1" s="207" t="s">
        <v>199</v>
      </c>
      <c r="N1" s="207" t="s">
        <v>200</v>
      </c>
      <c r="O1" s="207" t="s">
        <v>201</v>
      </c>
      <c r="P1" s="207" t="s">
        <v>217</v>
      </c>
      <c r="Q1" s="207" t="s">
        <v>202</v>
      </c>
    </row>
    <row r="2" spans="1:17" s="214" customFormat="1" ht="45.75" customHeight="1" x14ac:dyDescent="0.25">
      <c r="A2" s="209" t="s">
        <v>62</v>
      </c>
      <c r="B2" s="210">
        <v>42036</v>
      </c>
      <c r="C2" s="210">
        <v>42036</v>
      </c>
      <c r="D2" s="210">
        <v>42186</v>
      </c>
      <c r="E2" s="210">
        <v>42036</v>
      </c>
      <c r="F2" s="211">
        <v>42280</v>
      </c>
      <c r="G2" s="212">
        <f>DAYS360(C2,F2)+1</f>
        <v>243</v>
      </c>
      <c r="H2" s="212">
        <f>DAYS360(D2,F2)+1</f>
        <v>93</v>
      </c>
      <c r="I2" s="212">
        <f>DAYS360(E2,F2)+1</f>
        <v>243</v>
      </c>
      <c r="J2" s="213">
        <v>644350</v>
      </c>
      <c r="K2" s="213">
        <v>74000</v>
      </c>
      <c r="L2" s="213"/>
      <c r="M2" s="213">
        <f>(J2+K2+L2)*G2/360</f>
        <v>484886.25</v>
      </c>
      <c r="N2" s="213">
        <f>(M2*0.12*G2)/360</f>
        <v>39275.786249999997</v>
      </c>
      <c r="O2" s="213">
        <f>(J2+L2+K2)*H2/360</f>
        <v>185573.75</v>
      </c>
      <c r="P2" s="213">
        <f>J2*I2/720</f>
        <v>217468.125</v>
      </c>
      <c r="Q2" s="213">
        <f>M2+N2+O2+P2</f>
        <v>927203.91125</v>
      </c>
    </row>
    <row r="6" spans="1:17" ht="15.75" thickBot="1" x14ac:dyDescent="0.3">
      <c r="B6" s="1"/>
      <c r="C6" s="1"/>
      <c r="D6" s="1"/>
      <c r="E6" s="1"/>
      <c r="F6" s="1"/>
      <c r="G6" s="1"/>
      <c r="H6" s="1"/>
      <c r="I6" s="1"/>
      <c r="J6" s="1"/>
    </row>
    <row r="7" spans="1:17" ht="15.75" x14ac:dyDescent="0.25">
      <c r="B7" s="303" t="s">
        <v>203</v>
      </c>
      <c r="C7" s="304"/>
      <c r="D7" s="304"/>
      <c r="E7" s="304"/>
      <c r="F7" s="304"/>
      <c r="G7" s="304"/>
      <c r="H7" s="304"/>
      <c r="I7" s="305"/>
      <c r="J7" s="1"/>
    </row>
    <row r="8" spans="1:17" ht="15.75" x14ac:dyDescent="0.25">
      <c r="B8" s="306" t="s">
        <v>204</v>
      </c>
      <c r="C8" s="307"/>
      <c r="D8" s="307"/>
      <c r="E8" s="307"/>
      <c r="F8" s="307"/>
      <c r="G8" s="307"/>
      <c r="H8" s="307"/>
      <c r="I8" s="308"/>
      <c r="J8" s="1"/>
    </row>
    <row r="9" spans="1:17" x14ac:dyDescent="0.25">
      <c r="B9" s="309"/>
      <c r="C9" s="310"/>
      <c r="D9" s="310"/>
      <c r="E9" s="310"/>
      <c r="F9" s="310"/>
      <c r="G9" s="310"/>
      <c r="H9" s="310"/>
      <c r="I9" s="311"/>
      <c r="J9" s="1"/>
    </row>
    <row r="10" spans="1:17" x14ac:dyDescent="0.25">
      <c r="B10" s="186" t="s">
        <v>205</v>
      </c>
      <c r="C10" s="147"/>
      <c r="D10" s="147"/>
      <c r="E10" s="147" t="s">
        <v>62</v>
      </c>
      <c r="F10" s="147"/>
      <c r="G10" s="147"/>
      <c r="H10" s="147"/>
      <c r="I10" s="201"/>
      <c r="J10" s="1"/>
    </row>
    <row r="11" spans="1:17" s="1" customFormat="1" x14ac:dyDescent="0.25">
      <c r="B11" s="186"/>
      <c r="C11" s="147"/>
      <c r="D11" s="147"/>
      <c r="E11" s="147"/>
      <c r="F11" s="147"/>
      <c r="G11" s="147"/>
      <c r="H11" s="147"/>
      <c r="I11" s="201"/>
    </row>
    <row r="12" spans="1:17" x14ac:dyDescent="0.25">
      <c r="B12" s="312"/>
      <c r="C12" s="313"/>
      <c r="D12" s="147"/>
      <c r="E12" s="147"/>
      <c r="F12" s="202" t="s">
        <v>190</v>
      </c>
      <c r="G12" s="147"/>
      <c r="H12" s="314">
        <v>42036</v>
      </c>
      <c r="I12" s="315"/>
      <c r="J12" s="1"/>
    </row>
    <row r="13" spans="1:17" x14ac:dyDescent="0.25">
      <c r="B13" s="186" t="s">
        <v>206</v>
      </c>
      <c r="C13" s="147"/>
      <c r="D13" s="147">
        <v>243</v>
      </c>
      <c r="E13" s="147"/>
      <c r="F13" s="203" t="s">
        <v>207</v>
      </c>
      <c r="G13" s="147"/>
      <c r="H13" s="314">
        <v>42280</v>
      </c>
      <c r="I13" s="315"/>
      <c r="J13" s="1"/>
    </row>
    <row r="14" spans="1:17" x14ac:dyDescent="0.25">
      <c r="B14" s="186"/>
      <c r="C14" s="147"/>
      <c r="D14" s="147"/>
      <c r="E14" s="147"/>
      <c r="F14" s="147"/>
      <c r="G14" s="147"/>
      <c r="H14" s="147"/>
      <c r="I14" s="201"/>
      <c r="J14" s="1"/>
    </row>
    <row r="15" spans="1:17" x14ac:dyDescent="0.25">
      <c r="B15" s="186" t="s">
        <v>208</v>
      </c>
      <c r="C15" s="147"/>
      <c r="D15" s="204">
        <v>644350</v>
      </c>
      <c r="E15" s="147"/>
      <c r="F15" s="147"/>
      <c r="G15" s="147"/>
      <c r="H15" s="147"/>
      <c r="I15" s="201"/>
      <c r="J15" s="1"/>
    </row>
    <row r="16" spans="1:17" x14ac:dyDescent="0.25">
      <c r="B16" s="186" t="s">
        <v>197</v>
      </c>
      <c r="C16" s="147"/>
      <c r="D16" s="185">
        <v>74000</v>
      </c>
      <c r="E16" s="147"/>
      <c r="F16" s="147"/>
      <c r="G16" s="147"/>
      <c r="H16" s="147"/>
      <c r="I16" s="201"/>
      <c r="J16" s="1"/>
    </row>
    <row r="17" spans="2:10" x14ac:dyDescent="0.25">
      <c r="B17" s="186"/>
      <c r="C17" s="147"/>
      <c r="D17" s="205">
        <f>SUM(D15:D16)</f>
        <v>718350</v>
      </c>
      <c r="E17" s="147"/>
      <c r="F17" s="147"/>
      <c r="G17" s="147"/>
      <c r="H17" s="147"/>
      <c r="I17" s="201"/>
      <c r="J17" s="1"/>
    </row>
    <row r="18" spans="2:10" x14ac:dyDescent="0.25">
      <c r="B18" s="186" t="s">
        <v>198</v>
      </c>
      <c r="C18" s="147"/>
      <c r="D18" s="185">
        <v>0</v>
      </c>
      <c r="E18" s="147"/>
      <c r="F18" s="147"/>
      <c r="G18" s="147"/>
      <c r="H18" s="147"/>
      <c r="I18" s="201"/>
      <c r="J18" s="1"/>
    </row>
    <row r="19" spans="2:10" x14ac:dyDescent="0.25">
      <c r="B19" s="186" t="s">
        <v>202</v>
      </c>
      <c r="C19" s="147"/>
      <c r="D19" s="205">
        <f>SUM(D17:D18)</f>
        <v>718350</v>
      </c>
      <c r="E19" s="147"/>
      <c r="F19" s="147"/>
      <c r="G19" s="147"/>
      <c r="H19" s="147"/>
      <c r="I19" s="201"/>
      <c r="J19" s="1"/>
    </row>
    <row r="20" spans="2:10" ht="15.75" thickBot="1" x14ac:dyDescent="0.3">
      <c r="B20" s="186"/>
      <c r="C20" s="147"/>
      <c r="D20" s="204"/>
      <c r="E20" s="147"/>
      <c r="F20" s="147"/>
      <c r="G20" s="147"/>
      <c r="H20" s="147"/>
      <c r="I20" s="201"/>
      <c r="J20" s="1"/>
    </row>
    <row r="21" spans="2:10" ht="15.75" thickBot="1" x14ac:dyDescent="0.3">
      <c r="B21" s="299" t="s">
        <v>209</v>
      </c>
      <c r="C21" s="300"/>
      <c r="D21" s="300"/>
      <c r="E21" s="300"/>
      <c r="F21" s="300"/>
      <c r="G21" s="300"/>
      <c r="H21" s="300"/>
      <c r="I21" s="301"/>
      <c r="J21" s="1"/>
    </row>
    <row r="22" spans="2:10" x14ac:dyDescent="0.25">
      <c r="B22" s="186" t="s">
        <v>210</v>
      </c>
      <c r="C22" s="147"/>
      <c r="D22" s="185">
        <f>D19</f>
        <v>718350</v>
      </c>
      <c r="E22" s="187" t="s">
        <v>167</v>
      </c>
      <c r="F22" s="188">
        <f>D13</f>
        <v>243</v>
      </c>
      <c r="G22" s="147"/>
      <c r="H22" s="147"/>
      <c r="I22" s="189">
        <f>D22*F22/D23</f>
        <v>484886.25</v>
      </c>
      <c r="J22" s="1"/>
    </row>
    <row r="23" spans="2:10" ht="15.75" thickBot="1" x14ac:dyDescent="0.3">
      <c r="B23" s="190"/>
      <c r="C23" s="191"/>
      <c r="D23" s="302">
        <v>360</v>
      </c>
      <c r="E23" s="302"/>
      <c r="F23" s="302"/>
      <c r="G23" s="192"/>
      <c r="H23" s="192"/>
      <c r="I23" s="193"/>
      <c r="J23" s="1"/>
    </row>
    <row r="24" spans="2:10" ht="15.75" thickBot="1" x14ac:dyDescent="0.3">
      <c r="B24" s="186"/>
      <c r="C24" s="147"/>
      <c r="D24" s="147"/>
      <c r="E24" s="147"/>
      <c r="F24" s="147"/>
      <c r="G24" s="147"/>
      <c r="H24" s="147"/>
      <c r="I24" s="201"/>
      <c r="J24" s="1"/>
    </row>
    <row r="25" spans="2:10" ht="15.75" thickBot="1" x14ac:dyDescent="0.3">
      <c r="B25" s="299" t="s">
        <v>211</v>
      </c>
      <c r="C25" s="300"/>
      <c r="D25" s="300"/>
      <c r="E25" s="300"/>
      <c r="F25" s="300"/>
      <c r="G25" s="300"/>
      <c r="H25" s="300"/>
      <c r="I25" s="301"/>
      <c r="J25" s="1"/>
    </row>
    <row r="26" spans="2:10" x14ac:dyDescent="0.25">
      <c r="B26" s="186" t="s">
        <v>210</v>
      </c>
      <c r="C26" s="147"/>
      <c r="D26" s="185">
        <f>I22</f>
        <v>484886.25</v>
      </c>
      <c r="E26" s="187" t="s">
        <v>167</v>
      </c>
      <c r="F26" s="188">
        <v>0.12</v>
      </c>
      <c r="G26" s="187" t="s">
        <v>167</v>
      </c>
      <c r="H26" s="194">
        <f>D13</f>
        <v>243</v>
      </c>
      <c r="I26" s="189">
        <f>D26*F26*H26/D27</f>
        <v>39275.786249999997</v>
      </c>
      <c r="J26" s="1"/>
    </row>
    <row r="27" spans="2:10" ht="15.75" thickBot="1" x14ac:dyDescent="0.3">
      <c r="B27" s="190"/>
      <c r="C27" s="191"/>
      <c r="D27" s="302">
        <v>360</v>
      </c>
      <c r="E27" s="302"/>
      <c r="F27" s="302"/>
      <c r="G27" s="302"/>
      <c r="H27" s="302"/>
      <c r="I27" s="193"/>
      <c r="J27" s="1"/>
    </row>
    <row r="28" spans="2:10" ht="15.75" thickBot="1" x14ac:dyDescent="0.3">
      <c r="B28" s="186"/>
      <c r="C28" s="147"/>
      <c r="D28" s="147"/>
      <c r="E28" s="147"/>
      <c r="F28" s="147"/>
      <c r="G28" s="147"/>
      <c r="H28" s="147"/>
      <c r="I28" s="201"/>
      <c r="J28" s="1"/>
    </row>
    <row r="29" spans="2:10" ht="15.75" thickBot="1" x14ac:dyDescent="0.3">
      <c r="B29" s="299" t="s">
        <v>201</v>
      </c>
      <c r="C29" s="300"/>
      <c r="D29" s="300"/>
      <c r="E29" s="300"/>
      <c r="F29" s="300"/>
      <c r="G29" s="300"/>
      <c r="H29" s="300"/>
      <c r="I29" s="301"/>
      <c r="J29" s="1"/>
    </row>
    <row r="30" spans="2:10" x14ac:dyDescent="0.25">
      <c r="B30" s="186" t="s">
        <v>210</v>
      </c>
      <c r="C30" s="147"/>
      <c r="D30" s="185">
        <f>D19</f>
        <v>718350</v>
      </c>
      <c r="E30" s="187" t="s">
        <v>167</v>
      </c>
      <c r="F30" s="188">
        <v>93</v>
      </c>
      <c r="G30" s="147"/>
      <c r="H30" s="147"/>
      <c r="I30" s="189">
        <f>D30*F30/D31</f>
        <v>185573.75</v>
      </c>
      <c r="J30" s="1"/>
    </row>
    <row r="31" spans="2:10" ht="15.75" thickBot="1" x14ac:dyDescent="0.3">
      <c r="B31" s="190"/>
      <c r="C31" s="191"/>
      <c r="D31" s="302">
        <v>360</v>
      </c>
      <c r="E31" s="302"/>
      <c r="F31" s="302"/>
      <c r="G31" s="192"/>
      <c r="H31" s="192"/>
      <c r="I31" s="193"/>
      <c r="J31" s="1"/>
    </row>
    <row r="32" spans="2:10" ht="15.75" thickBot="1" x14ac:dyDescent="0.3">
      <c r="B32" s="186"/>
      <c r="C32" s="147"/>
      <c r="D32" s="147"/>
      <c r="E32" s="147"/>
      <c r="F32" s="147"/>
      <c r="G32" s="147"/>
      <c r="H32" s="147"/>
      <c r="I32" s="201"/>
      <c r="J32" s="1"/>
    </row>
    <row r="33" spans="2:10" ht="15.75" thickBot="1" x14ac:dyDescent="0.3">
      <c r="B33" s="299" t="s">
        <v>96</v>
      </c>
      <c r="C33" s="300"/>
      <c r="D33" s="300"/>
      <c r="E33" s="300"/>
      <c r="F33" s="300"/>
      <c r="G33" s="300"/>
      <c r="H33" s="300"/>
      <c r="I33" s="301"/>
      <c r="J33" s="1"/>
    </row>
    <row r="34" spans="2:10" x14ac:dyDescent="0.25">
      <c r="B34" s="186" t="s">
        <v>210</v>
      </c>
      <c r="C34" s="147"/>
      <c r="D34" s="185">
        <f>D15</f>
        <v>644350</v>
      </c>
      <c r="E34" s="187" t="s">
        <v>167</v>
      </c>
      <c r="F34" s="188">
        <f>D13</f>
        <v>243</v>
      </c>
      <c r="G34" s="147"/>
      <c r="H34" s="147"/>
      <c r="I34" s="189">
        <f>D34*F34/D35</f>
        <v>217468.125</v>
      </c>
      <c r="J34" s="1"/>
    </row>
    <row r="35" spans="2:10" ht="15.75" thickBot="1" x14ac:dyDescent="0.3">
      <c r="B35" s="190"/>
      <c r="C35" s="191"/>
      <c r="D35" s="302">
        <v>720</v>
      </c>
      <c r="E35" s="302"/>
      <c r="F35" s="302"/>
      <c r="G35" s="192"/>
      <c r="H35" s="192"/>
      <c r="I35" s="193"/>
      <c r="J35" s="1"/>
    </row>
    <row r="36" spans="2:10" x14ac:dyDescent="0.25">
      <c r="B36" s="195"/>
      <c r="C36" s="196"/>
      <c r="D36" s="196"/>
      <c r="E36" s="196"/>
      <c r="F36" s="196"/>
      <c r="G36" s="196"/>
      <c r="H36" s="196"/>
      <c r="I36" s="197"/>
      <c r="J36" s="1"/>
    </row>
    <row r="37" spans="2:10" ht="15.75" thickBot="1" x14ac:dyDescent="0.3">
      <c r="B37" s="198" t="s">
        <v>212</v>
      </c>
      <c r="C37" s="191"/>
      <c r="D37" s="191"/>
      <c r="E37" s="191"/>
      <c r="F37" s="191"/>
      <c r="G37" s="191"/>
      <c r="H37" s="191"/>
      <c r="I37" s="199">
        <f>I22+I26+I30+I34</f>
        <v>927203.91125</v>
      </c>
      <c r="J37" s="200"/>
    </row>
    <row r="38" spans="2:10" x14ac:dyDescent="0.25">
      <c r="B38" s="186"/>
      <c r="C38" s="147"/>
      <c r="D38" s="147"/>
      <c r="E38" s="147"/>
      <c r="F38" s="147"/>
      <c r="G38" s="147"/>
      <c r="H38" s="147"/>
      <c r="I38" s="201"/>
      <c r="J38" s="1"/>
    </row>
    <row r="39" spans="2:10" x14ac:dyDescent="0.25">
      <c r="B39" s="186"/>
      <c r="C39" s="147"/>
      <c r="D39" s="147"/>
      <c r="E39" s="147"/>
      <c r="F39" s="147"/>
      <c r="G39" s="147"/>
      <c r="H39" s="147"/>
      <c r="I39" s="201"/>
      <c r="J39" s="200"/>
    </row>
    <row r="40" spans="2:10" x14ac:dyDescent="0.25">
      <c r="B40" s="186"/>
      <c r="C40" s="147"/>
      <c r="D40" s="147"/>
      <c r="E40" s="147"/>
      <c r="F40" s="147"/>
      <c r="G40" s="147"/>
      <c r="H40" s="147"/>
      <c r="I40" s="201"/>
      <c r="J40" s="1"/>
    </row>
    <row r="41" spans="2:10" ht="15.75" thickBot="1" x14ac:dyDescent="0.3">
      <c r="B41" s="190" t="s">
        <v>53</v>
      </c>
      <c r="C41" s="191"/>
      <c r="D41" s="191"/>
      <c r="E41" s="147"/>
      <c r="F41" s="191" t="s">
        <v>62</v>
      </c>
      <c r="G41" s="191"/>
      <c r="H41" s="191"/>
      <c r="I41" s="206"/>
      <c r="J41" s="1"/>
    </row>
    <row r="42" spans="2:10" x14ac:dyDescent="0.25">
      <c r="B42" s="186" t="s">
        <v>213</v>
      </c>
      <c r="C42" s="147"/>
      <c r="D42" s="147"/>
      <c r="E42" s="147"/>
      <c r="F42" s="147" t="s">
        <v>84</v>
      </c>
      <c r="G42" s="147"/>
      <c r="H42" s="147"/>
      <c r="I42" s="201"/>
      <c r="J42" s="1"/>
    </row>
    <row r="43" spans="2:10" x14ac:dyDescent="0.25">
      <c r="B43" s="186"/>
      <c r="C43" s="147"/>
      <c r="D43" s="147"/>
      <c r="E43" s="147"/>
      <c r="F43" s="147"/>
      <c r="G43" s="147"/>
      <c r="H43" s="147"/>
      <c r="I43" s="201"/>
      <c r="J43" s="1"/>
    </row>
    <row r="44" spans="2:10" x14ac:dyDescent="0.25">
      <c r="B44" s="186"/>
      <c r="C44" s="147"/>
      <c r="D44" s="147"/>
      <c r="E44" s="147"/>
      <c r="F44" s="147"/>
      <c r="G44" s="147"/>
      <c r="H44" s="147"/>
      <c r="I44" s="201"/>
      <c r="J44" s="1"/>
    </row>
    <row r="45" spans="2:10" x14ac:dyDescent="0.25">
      <c r="B45" s="186"/>
      <c r="C45" s="147"/>
      <c r="D45" s="147"/>
      <c r="E45" s="147"/>
      <c r="F45" s="147"/>
      <c r="G45" s="147"/>
      <c r="H45" s="147"/>
      <c r="I45" s="201"/>
      <c r="J45" s="1"/>
    </row>
    <row r="46" spans="2:10" ht="15.75" thickBot="1" x14ac:dyDescent="0.3">
      <c r="B46" s="190"/>
      <c r="C46" s="191"/>
      <c r="D46" s="191"/>
      <c r="E46" s="191"/>
      <c r="F46" s="191"/>
      <c r="G46" s="191"/>
      <c r="H46" s="191"/>
      <c r="I46" s="206"/>
      <c r="J46" s="1"/>
    </row>
    <row r="47" spans="2:10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x14ac:dyDescent="0.25">
      <c r="B51" s="1"/>
      <c r="C51" s="1"/>
      <c r="D51" s="1"/>
      <c r="E51" s="1"/>
      <c r="F51" s="1"/>
      <c r="G51" s="1"/>
      <c r="H51" s="1"/>
      <c r="I51" s="1"/>
      <c r="J51" s="1"/>
    </row>
  </sheetData>
  <mergeCells count="14">
    <mergeCell ref="H13:I13"/>
    <mergeCell ref="B7:I7"/>
    <mergeCell ref="B8:I8"/>
    <mergeCell ref="B9:I9"/>
    <mergeCell ref="B12:C12"/>
    <mergeCell ref="H12:I12"/>
    <mergeCell ref="B33:I33"/>
    <mergeCell ref="D35:F35"/>
    <mergeCell ref="B21:I21"/>
    <mergeCell ref="D23:F23"/>
    <mergeCell ref="B25:I25"/>
    <mergeCell ref="D27:H27"/>
    <mergeCell ref="B29:I29"/>
    <mergeCell ref="D31:F31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F2" sqref="F2"/>
    </sheetView>
  </sheetViews>
  <sheetFormatPr baseColWidth="10" defaultRowHeight="15" x14ac:dyDescent="0.25"/>
  <sheetData>
    <row r="1" spans="1:7" s="1" customFormat="1" x14ac:dyDescent="0.25">
      <c r="A1" s="327"/>
      <c r="B1" s="328"/>
      <c r="C1" s="328"/>
      <c r="D1" s="328"/>
      <c r="E1" s="328"/>
      <c r="F1" s="329"/>
    </row>
    <row r="2" spans="1:7" ht="66" customHeight="1" x14ac:dyDescent="0.25">
      <c r="A2" s="326">
        <v>42280</v>
      </c>
      <c r="B2" s="318"/>
      <c r="C2" s="318"/>
      <c r="D2" s="318"/>
      <c r="E2" s="318"/>
      <c r="F2" s="319"/>
      <c r="G2" s="316"/>
    </row>
    <row r="3" spans="1:7" ht="36.75" customHeight="1" x14ac:dyDescent="0.25">
      <c r="A3" s="317" t="s">
        <v>218</v>
      </c>
      <c r="B3" s="318"/>
      <c r="C3" s="318"/>
      <c r="D3" s="318"/>
      <c r="E3" s="318"/>
      <c r="F3" s="319"/>
      <c r="G3" s="316"/>
    </row>
    <row r="4" spans="1:7" ht="70.5" customHeight="1" x14ac:dyDescent="0.25">
      <c r="A4" s="317" t="s">
        <v>219</v>
      </c>
      <c r="B4" s="318"/>
      <c r="C4" s="318"/>
      <c r="D4" s="318"/>
      <c r="E4" s="318"/>
      <c r="F4" s="319"/>
      <c r="G4" s="316"/>
    </row>
    <row r="5" spans="1:7" x14ac:dyDescent="0.25">
      <c r="A5" s="317"/>
      <c r="B5" s="318"/>
      <c r="C5" s="318"/>
      <c r="D5" s="318"/>
      <c r="E5" s="318"/>
      <c r="F5" s="319"/>
      <c r="G5" s="316"/>
    </row>
    <row r="6" spans="1:7" ht="21.75" customHeight="1" x14ac:dyDescent="0.25">
      <c r="A6" s="317" t="s">
        <v>220</v>
      </c>
      <c r="B6" s="318"/>
      <c r="C6" s="318"/>
      <c r="D6" s="318"/>
      <c r="E6" s="318"/>
      <c r="F6" s="319"/>
      <c r="G6" s="316"/>
    </row>
    <row r="7" spans="1:7" x14ac:dyDescent="0.25">
      <c r="A7" s="317" t="s">
        <v>221</v>
      </c>
      <c r="B7" s="318"/>
      <c r="C7" s="318"/>
      <c r="D7" s="318"/>
      <c r="E7" s="318"/>
      <c r="F7" s="319"/>
      <c r="G7" s="316"/>
    </row>
    <row r="8" spans="1:7" ht="18.75" customHeight="1" x14ac:dyDescent="0.25">
      <c r="A8" s="317" t="s">
        <v>222</v>
      </c>
      <c r="B8" s="318"/>
      <c r="C8" s="318"/>
      <c r="D8" s="318"/>
      <c r="E8" s="318"/>
      <c r="F8" s="319"/>
      <c r="G8" s="316"/>
    </row>
    <row r="9" spans="1:7" ht="37.5" customHeight="1" x14ac:dyDescent="0.25">
      <c r="A9" s="317"/>
      <c r="B9" s="318"/>
      <c r="C9" s="318"/>
      <c r="D9" s="318"/>
      <c r="E9" s="318"/>
      <c r="F9" s="319"/>
      <c r="G9" s="316"/>
    </row>
    <row r="10" spans="1:7" ht="57.75" customHeight="1" x14ac:dyDescent="0.25">
      <c r="A10" s="317" t="s">
        <v>223</v>
      </c>
      <c r="B10" s="318"/>
      <c r="C10" s="318"/>
      <c r="D10" s="318"/>
      <c r="E10" s="318"/>
      <c r="F10" s="319"/>
      <c r="G10" s="316"/>
    </row>
    <row r="11" spans="1:7" ht="72.75" customHeight="1" x14ac:dyDescent="0.25">
      <c r="A11" s="323" t="s">
        <v>62</v>
      </c>
      <c r="B11" s="324"/>
      <c r="C11" s="324"/>
      <c r="D11" s="324"/>
      <c r="E11" s="324"/>
      <c r="F11" s="325"/>
      <c r="G11" s="316"/>
    </row>
    <row r="12" spans="1:7" ht="66.75" customHeight="1" thickBot="1" x14ac:dyDescent="0.3">
      <c r="A12" s="320"/>
      <c r="B12" s="321"/>
      <c r="C12" s="321"/>
      <c r="D12" s="321"/>
      <c r="E12" s="321"/>
      <c r="F12" s="322"/>
      <c r="G12" s="316"/>
    </row>
    <row r="13" spans="1:7" x14ac:dyDescent="0.25">
      <c r="A13" s="316"/>
      <c r="B13" s="316"/>
      <c r="C13" s="316"/>
      <c r="D13" s="316"/>
      <c r="E13" s="316"/>
      <c r="F13" s="316"/>
      <c r="G13" s="316"/>
    </row>
    <row r="14" spans="1:7" x14ac:dyDescent="0.25">
      <c r="A14" s="316"/>
      <c r="B14" s="316"/>
      <c r="C14" s="316"/>
      <c r="D14" s="316"/>
      <c r="E14" s="316"/>
      <c r="F14" s="316"/>
      <c r="G14" s="316"/>
    </row>
    <row r="15" spans="1:7" x14ac:dyDescent="0.25">
      <c r="A15" s="316"/>
      <c r="B15" s="316"/>
      <c r="C15" s="316"/>
      <c r="D15" s="316"/>
      <c r="E15" s="316"/>
      <c r="F15" s="316"/>
      <c r="G15" s="316"/>
    </row>
    <row r="16" spans="1:7" x14ac:dyDescent="0.25">
      <c r="A16" s="316"/>
      <c r="B16" s="316"/>
      <c r="C16" s="316"/>
      <c r="D16" s="316"/>
      <c r="E16" s="316"/>
      <c r="F16" s="316"/>
      <c r="G16" s="316"/>
    </row>
    <row r="17" spans="1:7" x14ac:dyDescent="0.25">
      <c r="A17" s="316"/>
      <c r="B17" s="316"/>
      <c r="C17" s="316"/>
      <c r="D17" s="316"/>
      <c r="E17" s="316"/>
      <c r="F17" s="316"/>
      <c r="G17" s="316"/>
    </row>
    <row r="18" spans="1:7" x14ac:dyDescent="0.25">
      <c r="A18" s="316"/>
      <c r="B18" s="316"/>
      <c r="C18" s="316"/>
      <c r="D18" s="316"/>
      <c r="E18" s="316"/>
      <c r="F18" s="316"/>
      <c r="G18" s="316"/>
    </row>
    <row r="19" spans="1:7" x14ac:dyDescent="0.25">
      <c r="A19" s="316"/>
      <c r="B19" s="316"/>
      <c r="C19" s="316"/>
      <c r="D19" s="316"/>
      <c r="E19" s="316"/>
      <c r="F19" s="316"/>
      <c r="G19" s="316"/>
    </row>
    <row r="20" spans="1:7" x14ac:dyDescent="0.25">
      <c r="A20" s="316"/>
      <c r="B20" s="316"/>
      <c r="C20" s="316"/>
      <c r="D20" s="316"/>
      <c r="E20" s="316"/>
      <c r="F20" s="316"/>
      <c r="G20" s="316"/>
    </row>
    <row r="21" spans="1:7" x14ac:dyDescent="0.25">
      <c r="A21" s="316"/>
      <c r="B21" s="316"/>
      <c r="C21" s="316"/>
      <c r="D21" s="316"/>
      <c r="E21" s="316"/>
      <c r="F21" s="316"/>
      <c r="G21" s="316"/>
    </row>
    <row r="22" spans="1:7" x14ac:dyDescent="0.25">
      <c r="A22" s="316"/>
      <c r="B22" s="316"/>
      <c r="C22" s="316"/>
      <c r="D22" s="316"/>
      <c r="E22" s="316"/>
      <c r="F22" s="316"/>
      <c r="G22" s="316"/>
    </row>
    <row r="23" spans="1:7" x14ac:dyDescent="0.25">
      <c r="A23" s="316"/>
      <c r="B23" s="316"/>
      <c r="C23" s="316"/>
      <c r="D23" s="316"/>
      <c r="E23" s="316"/>
      <c r="F23" s="316"/>
      <c r="G23" s="316"/>
    </row>
    <row r="24" spans="1:7" x14ac:dyDescent="0.25">
      <c r="A24" s="316"/>
      <c r="B24" s="316"/>
      <c r="C24" s="316"/>
      <c r="D24" s="316"/>
      <c r="E24" s="316"/>
      <c r="F24" s="316"/>
      <c r="G24" s="316"/>
    </row>
    <row r="25" spans="1:7" x14ac:dyDescent="0.25">
      <c r="A25" s="316"/>
      <c r="B25" s="316"/>
      <c r="C25" s="316"/>
      <c r="D25" s="316"/>
      <c r="E25" s="316"/>
      <c r="F25" s="316"/>
      <c r="G25" s="316"/>
    </row>
  </sheetData>
  <mergeCells count="1">
    <mergeCell ref="A11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Hoja1</vt:lpstr>
      <vt:lpstr>X PARES</vt:lpstr>
      <vt:lpstr>A.S. MÍNIMOS CUADRADOS</vt:lpstr>
      <vt:lpstr>NÓMINA SEPTIEMBRE</vt:lpstr>
      <vt:lpstr>NÓMINA OCTUBRE</vt:lpstr>
      <vt:lpstr>NOVEDADES</vt:lpstr>
      <vt:lpstr>LIQUIDACIÓN </vt:lpstr>
      <vt:lpstr>CARTA DE RENUNCIA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2014-08-13T19:39:29Z</cp:lastPrinted>
  <dcterms:created xsi:type="dcterms:W3CDTF">2014-08-13T19:07:28Z</dcterms:created>
  <dcterms:modified xsi:type="dcterms:W3CDTF">2015-11-05T18:44:36Z</dcterms:modified>
</cp:coreProperties>
</file>